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-60" windowWidth="14865" windowHeight="8355" firstSheet="10" activeTab="10"/>
  </bookViews>
  <sheets>
    <sheet name="найм" sheetId="15" r:id="rId1"/>
    <sheet name="Исх.данные" sheetId="1" r:id="rId2"/>
    <sheet name="Данные ЖЭУ" sheetId="14" r:id="rId3"/>
    <sheet name="Цены ЖЭУ" sheetId="13" r:id="rId4"/>
    <sheet name="Цены" sheetId="6" r:id="rId5"/>
    <sheet name="Сод.помещ." sheetId="5" r:id="rId6"/>
    <sheet name="придом.терр." sheetId="4" r:id="rId7"/>
    <sheet name="Промывка" sheetId="8" r:id="rId8"/>
    <sheet name="Сезон.экспалуат" sheetId="7" r:id="rId9"/>
    <sheet name="Вывоз ТБО" sheetId="2" r:id="rId10"/>
    <sheet name="Свод" sheetId="9" r:id="rId11"/>
  </sheets>
  <externalReferences>
    <externalReference r:id="rId12"/>
    <externalReference r:id="rId13"/>
    <externalReference r:id="rId14"/>
  </externalReferences>
  <calcPr calcId="114210"/>
</workbook>
</file>

<file path=xl/calcChain.xml><?xml version="1.0" encoding="utf-8"?>
<calcChain xmlns="http://schemas.openxmlformats.org/spreadsheetml/2006/main">
  <c r="D85" i="9"/>
  <c r="D88"/>
  <c r="D7"/>
  <c r="D16"/>
  <c r="D18"/>
  <c r="D20"/>
  <c r="D21"/>
  <c r="D22"/>
  <c r="D23"/>
  <c r="D25"/>
  <c r="D27"/>
  <c r="D28"/>
  <c r="D29"/>
  <c r="D31"/>
  <c r="D37"/>
  <c r="D39"/>
  <c r="D41"/>
  <c r="D43"/>
  <c r="D45"/>
  <c r="D47"/>
  <c r="D53"/>
  <c r="D54"/>
  <c r="D56"/>
  <c r="D58"/>
  <c r="D60"/>
  <c r="D62"/>
  <c r="D63"/>
  <c r="D64"/>
  <c r="D71"/>
  <c r="D67"/>
  <c r="D66"/>
  <c r="D74"/>
  <c r="D75"/>
  <c r="D77"/>
  <c r="D78"/>
  <c r="D81"/>
  <c r="D82"/>
  <c r="D83"/>
  <c r="D84"/>
  <c r="D35"/>
  <c r="D33"/>
  <c r="F9" i="15"/>
  <c r="F11"/>
  <c r="F12"/>
  <c r="F13"/>
  <c r="F8"/>
  <c r="E11"/>
  <c r="E14"/>
  <c r="G14"/>
  <c r="F14"/>
  <c r="D13"/>
  <c r="E13"/>
  <c r="D12"/>
  <c r="E12"/>
  <c r="D11"/>
  <c r="D9"/>
  <c r="E9"/>
  <c r="D8"/>
  <c r="E8"/>
  <c r="H215" i="4"/>
  <c r="L12" i="1"/>
  <c r="H12"/>
  <c r="C12"/>
  <c r="D12"/>
  <c r="C233" i="4"/>
  <c r="C234"/>
  <c r="C232"/>
  <c r="G231"/>
  <c r="E232"/>
  <c r="E233"/>
  <c r="B234"/>
  <c r="B232"/>
  <c r="B233"/>
  <c r="K194"/>
  <c r="K57" i="6"/>
  <c r="E60"/>
  <c r="E61"/>
  <c r="E57"/>
  <c r="E56"/>
  <c r="E55"/>
  <c r="E54"/>
  <c r="E53"/>
  <c r="E52"/>
  <c r="E51"/>
  <c r="E50"/>
  <c r="E49"/>
  <c r="E48"/>
  <c r="E47"/>
  <c r="E46"/>
  <c r="E45"/>
  <c r="E44"/>
  <c r="E43"/>
  <c r="E42"/>
  <c r="F158" i="7"/>
  <c r="G158"/>
  <c r="E39" i="6"/>
  <c r="E40"/>
  <c r="F156" i="7"/>
  <c r="G156"/>
  <c r="E34" i="6"/>
  <c r="E35"/>
  <c r="F117" i="7"/>
  <c r="G117"/>
  <c r="E36" i="6"/>
  <c r="E37"/>
  <c r="E38"/>
  <c r="E33"/>
  <c r="E32"/>
  <c r="E31"/>
  <c r="E30"/>
  <c r="E27"/>
  <c r="E28"/>
  <c r="F110" i="7"/>
  <c r="G110"/>
  <c r="E26" i="6"/>
  <c r="E24"/>
  <c r="E23"/>
  <c r="E22"/>
  <c r="E21"/>
  <c r="E20"/>
  <c r="E18"/>
  <c r="E17"/>
  <c r="E16"/>
  <c r="E15"/>
  <c r="E14"/>
  <c r="E13"/>
  <c r="E11"/>
  <c r="E10"/>
  <c r="E9"/>
  <c r="E8"/>
  <c r="E7"/>
  <c r="F14" i="4"/>
  <c r="G14"/>
  <c r="D31" i="14"/>
  <c r="D30"/>
  <c r="D29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D7"/>
  <c r="E28"/>
  <c r="E27"/>
  <c r="E25"/>
  <c r="E24"/>
  <c r="E23"/>
  <c r="E22"/>
  <c r="E21"/>
  <c r="E20"/>
  <c r="E61" i="13"/>
  <c r="E63" i="6"/>
  <c r="E60" i="13"/>
  <c r="E62" i="6"/>
  <c r="E57" i="13"/>
  <c r="E59" i="6"/>
  <c r="E56" i="13"/>
  <c r="E58" i="6"/>
  <c r="M160" i="4"/>
  <c r="C182"/>
  <c r="E19" i="6"/>
  <c r="G170" i="4"/>
  <c r="H170"/>
  <c r="F49"/>
  <c r="G49"/>
  <c r="F45"/>
  <c r="G45"/>
  <c r="F46"/>
  <c r="G46"/>
  <c r="F47"/>
  <c r="G47"/>
  <c r="F48"/>
  <c r="G48"/>
  <c r="F50"/>
  <c r="G50"/>
  <c r="G51"/>
  <c r="F18"/>
  <c r="G18"/>
  <c r="F15"/>
  <c r="G15"/>
  <c r="F16"/>
  <c r="G16"/>
  <c r="F17"/>
  <c r="G17"/>
  <c r="F19"/>
  <c r="G19"/>
  <c r="F140"/>
  <c r="G140"/>
  <c r="F77"/>
  <c r="G77"/>
  <c r="F78"/>
  <c r="G78"/>
  <c r="F79"/>
  <c r="G79"/>
  <c r="F80"/>
  <c r="G80"/>
  <c r="F81"/>
  <c r="G81"/>
  <c r="F82"/>
  <c r="G82"/>
  <c r="F109"/>
  <c r="G109"/>
  <c r="F110"/>
  <c r="G110"/>
  <c r="F113"/>
  <c r="G113"/>
  <c r="E18" i="5"/>
  <c r="M18"/>
  <c r="E19"/>
  <c r="M19"/>
  <c r="E20"/>
  <c r="M20"/>
  <c r="E21"/>
  <c r="M21"/>
  <c r="F18" i="7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112"/>
  <c r="G112"/>
  <c r="F113"/>
  <c r="G113"/>
  <c r="F114"/>
  <c r="G114"/>
  <c r="F115"/>
  <c r="G115"/>
  <c r="F116"/>
  <c r="G116"/>
  <c r="F84"/>
  <c r="G84"/>
  <c r="F85"/>
  <c r="G85"/>
  <c r="G86"/>
  <c r="B96"/>
  <c r="I96"/>
  <c r="F152"/>
  <c r="G152"/>
  <c r="F153"/>
  <c r="G153"/>
  <c r="F154"/>
  <c r="G154"/>
  <c r="F155"/>
  <c r="G155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99"/>
  <c r="G199"/>
  <c r="F200"/>
  <c r="G200"/>
  <c r="G201"/>
  <c r="L18" i="5"/>
  <c r="L19"/>
  <c r="L20"/>
  <c r="G86"/>
  <c r="H86"/>
  <c r="D85"/>
  <c r="I86"/>
  <c r="G87"/>
  <c r="H87"/>
  <c r="G88"/>
  <c r="H88"/>
  <c r="G90"/>
  <c r="H90"/>
  <c r="I90"/>
  <c r="G54"/>
  <c r="G50"/>
  <c r="G57"/>
  <c r="H57"/>
  <c r="D50"/>
  <c r="I57"/>
  <c r="H50"/>
  <c r="I50"/>
  <c r="G51"/>
  <c r="H51"/>
  <c r="G52"/>
  <c r="H52"/>
  <c r="I52"/>
  <c r="G53"/>
  <c r="H53"/>
  <c r="G58"/>
  <c r="H58"/>
  <c r="I58"/>
  <c r="K18"/>
  <c r="K19"/>
  <c r="K20"/>
  <c r="K21"/>
  <c r="D25" i="2"/>
  <c r="E260" i="4"/>
  <c r="C259"/>
  <c r="E259"/>
  <c r="E258"/>
  <c r="E257"/>
  <c r="C256"/>
  <c r="E256"/>
  <c r="C255"/>
  <c r="D255"/>
  <c r="E255"/>
  <c r="H254"/>
  <c r="B260"/>
  <c r="K260"/>
  <c r="B259"/>
  <c r="K259"/>
  <c r="B256"/>
  <c r="K256"/>
  <c r="B255"/>
  <c r="K255"/>
  <c r="H246"/>
  <c r="F247"/>
  <c r="A8"/>
  <c r="A133"/>
  <c r="A163"/>
  <c r="A189"/>
  <c r="C59"/>
  <c r="D59"/>
  <c r="E59"/>
  <c r="H57"/>
  <c r="B59"/>
  <c r="C28"/>
  <c r="M5"/>
  <c r="D28"/>
  <c r="E28"/>
  <c r="H26"/>
  <c r="B28"/>
  <c r="B178"/>
  <c r="D178"/>
  <c r="G176"/>
  <c r="B148"/>
  <c r="C148"/>
  <c r="D148"/>
  <c r="G146"/>
  <c r="C91"/>
  <c r="M67"/>
  <c r="E91"/>
  <c r="H89"/>
  <c r="B91"/>
  <c r="C123"/>
  <c r="M99"/>
  <c r="E123"/>
  <c r="H121"/>
  <c r="B123"/>
  <c r="D60"/>
  <c r="E60"/>
  <c r="C29"/>
  <c r="E29"/>
  <c r="C179"/>
  <c r="D179"/>
  <c r="C149"/>
  <c r="D149"/>
  <c r="E92"/>
  <c r="E124"/>
  <c r="D61"/>
  <c r="E61"/>
  <c r="C30"/>
  <c r="E30"/>
  <c r="C180"/>
  <c r="D180"/>
  <c r="C150"/>
  <c r="D150"/>
  <c r="E93"/>
  <c r="E125"/>
  <c r="C62"/>
  <c r="D62"/>
  <c r="E62"/>
  <c r="B62"/>
  <c r="C31"/>
  <c r="E31"/>
  <c r="B31"/>
  <c r="B181"/>
  <c r="C181"/>
  <c r="D181"/>
  <c r="B151"/>
  <c r="C151"/>
  <c r="D151"/>
  <c r="C94"/>
  <c r="E94"/>
  <c r="B94"/>
  <c r="C126"/>
  <c r="E126"/>
  <c r="B126"/>
  <c r="B152"/>
  <c r="I152"/>
  <c r="C152"/>
  <c r="D152"/>
  <c r="B153"/>
  <c r="C153"/>
  <c r="D153"/>
  <c r="B154"/>
  <c r="C154"/>
  <c r="D154"/>
  <c r="B155"/>
  <c r="C155"/>
  <c r="D155"/>
  <c r="D63"/>
  <c r="E63"/>
  <c r="B63"/>
  <c r="E32"/>
  <c r="B32"/>
  <c r="B182"/>
  <c r="D182"/>
  <c r="B156"/>
  <c r="C156"/>
  <c r="D156"/>
  <c r="D95"/>
  <c r="E95"/>
  <c r="B95"/>
  <c r="E127"/>
  <c r="B127"/>
  <c r="C58"/>
  <c r="D58"/>
  <c r="E58"/>
  <c r="B58"/>
  <c r="C27"/>
  <c r="E27"/>
  <c r="B27"/>
  <c r="B177"/>
  <c r="D177"/>
  <c r="B147"/>
  <c r="C147"/>
  <c r="D147"/>
  <c r="C90"/>
  <c r="E90"/>
  <c r="B90"/>
  <c r="C122"/>
  <c r="E122"/>
  <c r="B122"/>
  <c r="C29" i="5"/>
  <c r="L6"/>
  <c r="D29"/>
  <c r="E29"/>
  <c r="H27"/>
  <c r="B29"/>
  <c r="B57" i="7"/>
  <c r="C56"/>
  <c r="C57"/>
  <c r="C58"/>
  <c r="C59"/>
  <c r="E8"/>
  <c r="E9"/>
  <c r="E10"/>
  <c r="D57"/>
  <c r="G55"/>
  <c r="C124"/>
  <c r="C125"/>
  <c r="C126"/>
  <c r="B125"/>
  <c r="E104"/>
  <c r="D124"/>
  <c r="D125"/>
  <c r="D126"/>
  <c r="D127"/>
  <c r="D128"/>
  <c r="D129"/>
  <c r="D130"/>
  <c r="D131"/>
  <c r="D132"/>
  <c r="D133"/>
  <c r="G123"/>
  <c r="B93"/>
  <c r="E72"/>
  <c r="E73"/>
  <c r="E74"/>
  <c r="D93"/>
  <c r="G91"/>
  <c r="B175"/>
  <c r="E140"/>
  <c r="E141"/>
  <c r="E142"/>
  <c r="D174"/>
  <c r="D175"/>
  <c r="D176"/>
  <c r="D177"/>
  <c r="D178"/>
  <c r="D179"/>
  <c r="D180"/>
  <c r="D181"/>
  <c r="D182"/>
  <c r="D183"/>
  <c r="G173"/>
  <c r="G157"/>
  <c r="B208"/>
  <c r="C207"/>
  <c r="C208"/>
  <c r="D207"/>
  <c r="D208"/>
  <c r="D209"/>
  <c r="D210"/>
  <c r="D211"/>
  <c r="D212"/>
  <c r="D213"/>
  <c r="D214"/>
  <c r="D215"/>
  <c r="D216"/>
  <c r="G206"/>
  <c r="C30" i="5"/>
  <c r="L7"/>
  <c r="D30"/>
  <c r="E30"/>
  <c r="I88"/>
  <c r="D98"/>
  <c r="G97"/>
  <c r="D58" i="7"/>
  <c r="D94"/>
  <c r="C31" i="5"/>
  <c r="L8"/>
  <c r="E31"/>
  <c r="J39"/>
  <c r="E67"/>
  <c r="H65"/>
  <c r="K39"/>
  <c r="E68"/>
  <c r="D59" i="7"/>
  <c r="D95"/>
  <c r="C32" i="5"/>
  <c r="E32"/>
  <c r="B32"/>
  <c r="B60" i="7"/>
  <c r="D60"/>
  <c r="B128"/>
  <c r="D96"/>
  <c r="B178"/>
  <c r="B211"/>
  <c r="B61"/>
  <c r="D61"/>
  <c r="B129"/>
  <c r="B179"/>
  <c r="B212"/>
  <c r="B63"/>
  <c r="D63"/>
  <c r="C28" i="5"/>
  <c r="D28"/>
  <c r="E28"/>
  <c r="B28"/>
  <c r="B56" i="7"/>
  <c r="D56"/>
  <c r="B124"/>
  <c r="B92"/>
  <c r="D92"/>
  <c r="B174"/>
  <c r="B207"/>
  <c r="I202" i="4"/>
  <c r="A10" i="5"/>
  <c r="B33"/>
  <c r="C33"/>
  <c r="D33"/>
  <c r="E33"/>
  <c r="A41"/>
  <c r="A57"/>
  <c r="C57"/>
  <c r="A58"/>
  <c r="A59"/>
  <c r="C59"/>
  <c r="A91"/>
  <c r="A7" i="4"/>
  <c r="A70"/>
  <c r="B140"/>
  <c r="B170"/>
  <c r="G201"/>
  <c r="D202"/>
  <c r="K202"/>
  <c r="G12" i="8"/>
  <c r="H12"/>
  <c r="L12"/>
  <c r="M12"/>
  <c r="G14"/>
  <c r="H14"/>
  <c r="L14"/>
  <c r="M14"/>
  <c r="G17"/>
  <c r="H17"/>
  <c r="L17"/>
  <c r="M17"/>
  <c r="G23"/>
  <c r="H23"/>
  <c r="L23"/>
  <c r="M23"/>
  <c r="G25"/>
  <c r="H25"/>
  <c r="N25"/>
  <c r="L25"/>
  <c r="G27"/>
  <c r="H27"/>
  <c r="L27"/>
  <c r="M27"/>
  <c r="A4" i="7"/>
  <c r="B62"/>
  <c r="D62"/>
  <c r="B64"/>
  <c r="D64"/>
  <c r="B65"/>
  <c r="D65"/>
  <c r="C77"/>
  <c r="C96"/>
  <c r="B97"/>
  <c r="D97"/>
  <c r="B130"/>
  <c r="B131"/>
  <c r="B132"/>
  <c r="B133"/>
  <c r="A136"/>
  <c r="E143"/>
  <c r="E144"/>
  <c r="E145"/>
  <c r="C146"/>
  <c r="C174"/>
  <c r="B180"/>
  <c r="B181"/>
  <c r="B182"/>
  <c r="B183"/>
  <c r="A187"/>
  <c r="B213"/>
  <c r="B214"/>
  <c r="B215"/>
  <c r="B216"/>
  <c r="G229"/>
  <c r="G230"/>
  <c r="H230"/>
  <c r="I230"/>
  <c r="G236"/>
  <c r="B237"/>
  <c r="C237"/>
  <c r="C238"/>
  <c r="D237"/>
  <c r="D238"/>
  <c r="D239"/>
  <c r="D240"/>
  <c r="D241"/>
  <c r="D242"/>
  <c r="B238"/>
  <c r="C239"/>
  <c r="C240"/>
  <c r="C241"/>
  <c r="B241"/>
  <c r="B242"/>
  <c r="C242"/>
  <c r="E5" i="1"/>
  <c r="E8"/>
  <c r="F8"/>
  <c r="B127" i="7"/>
  <c r="E17" i="1"/>
  <c r="F17"/>
  <c r="G17"/>
  <c r="H17"/>
  <c r="I17"/>
  <c r="J17"/>
  <c r="L17"/>
  <c r="E19"/>
  <c r="H19"/>
  <c r="J19"/>
  <c r="E26"/>
  <c r="C257" i="4"/>
  <c r="D257"/>
  <c r="F26" i="1"/>
  <c r="C258" i="4"/>
  <c r="J258"/>
  <c r="L26" i="1"/>
  <c r="C260" i="4"/>
  <c r="J260"/>
  <c r="E27" i="1"/>
  <c r="C92" i="4"/>
  <c r="F27" i="1"/>
  <c r="C60" i="4"/>
  <c r="L27" i="1"/>
  <c r="C63" i="4"/>
  <c r="E33" i="1"/>
  <c r="F33"/>
  <c r="G33"/>
  <c r="H33"/>
  <c r="I33"/>
  <c r="J33"/>
  <c r="K33"/>
  <c r="L33"/>
  <c r="D34"/>
  <c r="E34"/>
  <c r="F34"/>
  <c r="G34"/>
  <c r="H34"/>
  <c r="I34"/>
  <c r="J34"/>
  <c r="K34"/>
  <c r="L34"/>
  <c r="F48"/>
  <c r="F50"/>
  <c r="M38" i="4"/>
  <c r="F62"/>
  <c r="G62"/>
  <c r="F49" i="1"/>
  <c r="F52"/>
  <c r="B83" i="9"/>
  <c r="C175" i="7"/>
  <c r="B239"/>
  <c r="B210"/>
  <c r="C68" i="5"/>
  <c r="D68"/>
  <c r="L41"/>
  <c r="F68"/>
  <c r="G68"/>
  <c r="B209" i="7"/>
  <c r="B176"/>
  <c r="B94"/>
  <c r="B126"/>
  <c r="B58"/>
  <c r="B30" i="5"/>
  <c r="C127" i="4"/>
  <c r="C95"/>
  <c r="G83"/>
  <c r="J95"/>
  <c r="C32"/>
  <c r="C125"/>
  <c r="C93"/>
  <c r="B124"/>
  <c r="C124"/>
  <c r="B92"/>
  <c r="B149"/>
  <c r="B179"/>
  <c r="B29"/>
  <c r="B60"/>
  <c r="I57"/>
  <c r="B257"/>
  <c r="K257"/>
  <c r="D256"/>
  <c r="D259"/>
  <c r="I51" i="5"/>
  <c r="I93" i="7"/>
  <c r="I170" i="4"/>
  <c r="F111"/>
  <c r="G111"/>
  <c r="G89" i="5"/>
  <c r="H89"/>
  <c r="I89"/>
  <c r="L21"/>
  <c r="E17"/>
  <c r="L17"/>
  <c r="L22"/>
  <c r="J30"/>
  <c r="M17"/>
  <c r="M22"/>
  <c r="G85"/>
  <c r="H85"/>
  <c r="I85"/>
  <c r="K17"/>
  <c r="K22"/>
  <c r="D232" i="4"/>
  <c r="E234"/>
  <c r="B98" i="5"/>
  <c r="C98"/>
  <c r="E98"/>
  <c r="F98"/>
  <c r="D126" i="4"/>
  <c r="D94"/>
  <c r="D31"/>
  <c r="D124"/>
  <c r="D29"/>
  <c r="C178"/>
  <c r="A102"/>
  <c r="A38"/>
  <c r="D260"/>
  <c r="F114"/>
  <c r="G114"/>
  <c r="F112"/>
  <c r="G112"/>
  <c r="D27"/>
  <c r="C177"/>
  <c r="D125"/>
  <c r="D93"/>
  <c r="F63"/>
  <c r="G63"/>
  <c r="D233"/>
  <c r="F59"/>
  <c r="G59"/>
  <c r="D32"/>
  <c r="D30"/>
  <c r="D234"/>
  <c r="F224"/>
  <c r="G224"/>
  <c r="J255"/>
  <c r="J257"/>
  <c r="J259"/>
  <c r="J256"/>
  <c r="F60"/>
  <c r="G60"/>
  <c r="F222"/>
  <c r="G222"/>
  <c r="F223"/>
  <c r="G223"/>
  <c r="G225"/>
  <c r="I151"/>
  <c r="I149"/>
  <c r="I148"/>
  <c r="I147"/>
  <c r="I156"/>
  <c r="I155"/>
  <c r="I153"/>
  <c r="I181"/>
  <c r="C209" i="7"/>
  <c r="C210"/>
  <c r="C211"/>
  <c r="C212"/>
  <c r="C213"/>
  <c r="C214"/>
  <c r="C215"/>
  <c r="C216"/>
  <c r="F58" i="4"/>
  <c r="G58"/>
  <c r="F61"/>
  <c r="G61"/>
  <c r="J92"/>
  <c r="J90"/>
  <c r="J94"/>
  <c r="J91"/>
  <c r="J93"/>
  <c r="D258"/>
  <c r="I89"/>
  <c r="B30"/>
  <c r="H123" i="7"/>
  <c r="N23" i="8"/>
  <c r="P23"/>
  <c r="Q23"/>
  <c r="N14"/>
  <c r="P14"/>
  <c r="Q14"/>
  <c r="D31" i="5"/>
  <c r="D32"/>
  <c r="I182" i="4"/>
  <c r="I179"/>
  <c r="C176" i="7"/>
  <c r="H231" i="4"/>
  <c r="H236" i="7"/>
  <c r="H97" i="5"/>
  <c r="H206" i="7"/>
  <c r="H91"/>
  <c r="H55"/>
  <c r="I121" i="4"/>
  <c r="H146"/>
  <c r="I26"/>
  <c r="I254"/>
  <c r="H201"/>
  <c r="I65" i="5"/>
  <c r="H173" i="7"/>
  <c r="I27" i="5"/>
  <c r="H176" i="4"/>
  <c r="M7"/>
  <c r="L10" i="5"/>
  <c r="F33"/>
  <c r="G33"/>
  <c r="M102" i="4"/>
  <c r="K4" i="7"/>
  <c r="M70" i="4"/>
  <c r="B240" i="7"/>
  <c r="B177"/>
  <c r="B59"/>
  <c r="B31" i="5"/>
  <c r="B180" i="4"/>
  <c r="B61"/>
  <c r="B258"/>
  <c r="K258"/>
  <c r="B95" i="7"/>
  <c r="B125" i="4"/>
  <c r="B93"/>
  <c r="B150"/>
  <c r="C93" i="7"/>
  <c r="C97"/>
  <c r="C92"/>
  <c r="K68"/>
  <c r="F77"/>
  <c r="E92"/>
  <c r="F92"/>
  <c r="C95"/>
  <c r="C94"/>
  <c r="P25" i="8"/>
  <c r="Q25"/>
  <c r="M25"/>
  <c r="N17"/>
  <c r="P17"/>
  <c r="Q17"/>
  <c r="N12"/>
  <c r="P12"/>
  <c r="Q12"/>
  <c r="I154" i="4"/>
  <c r="D91"/>
  <c r="F91"/>
  <c r="G91"/>
  <c r="D90"/>
  <c r="F90"/>
  <c r="G90"/>
  <c r="D92"/>
  <c r="F92"/>
  <c r="G92"/>
  <c r="I95" i="7"/>
  <c r="H229"/>
  <c r="H231"/>
  <c r="I229"/>
  <c r="I231"/>
  <c r="I241"/>
  <c r="A68"/>
  <c r="A100"/>
  <c r="A219"/>
  <c r="N27" i="8"/>
  <c r="P27"/>
  <c r="Q27"/>
  <c r="D123" i="4"/>
  <c r="F123"/>
  <c r="G123"/>
  <c r="D127"/>
  <c r="F127"/>
  <c r="G127"/>
  <c r="D122"/>
  <c r="F122"/>
  <c r="G122"/>
  <c r="I87" i="5"/>
  <c r="G59"/>
  <c r="G91"/>
  <c r="H91"/>
  <c r="I91"/>
  <c r="H54"/>
  <c r="I54"/>
  <c r="I92" i="7"/>
  <c r="I97"/>
  <c r="I94"/>
  <c r="G50"/>
  <c r="I65"/>
  <c r="I56"/>
  <c r="I59"/>
  <c r="I57"/>
  <c r="I239"/>
  <c r="K100"/>
  <c r="F104"/>
  <c r="E124"/>
  <c r="F124"/>
  <c r="E97"/>
  <c r="F97"/>
  <c r="F11"/>
  <c r="K187"/>
  <c r="F193"/>
  <c r="K136"/>
  <c r="F146"/>
  <c r="K219"/>
  <c r="K220"/>
  <c r="F30" i="4"/>
  <c r="G30"/>
  <c r="M133"/>
  <c r="E153"/>
  <c r="F153"/>
  <c r="F31"/>
  <c r="G31"/>
  <c r="F27"/>
  <c r="G27"/>
  <c r="F32"/>
  <c r="G32"/>
  <c r="F28"/>
  <c r="G28"/>
  <c r="I28"/>
  <c r="F32" i="5"/>
  <c r="G32"/>
  <c r="H59"/>
  <c r="I59"/>
  <c r="E95" i="7"/>
  <c r="F95"/>
  <c r="H95"/>
  <c r="E150" i="4"/>
  <c r="F150"/>
  <c r="I150"/>
  <c r="F94"/>
  <c r="G94"/>
  <c r="F95"/>
  <c r="G95"/>
  <c r="F126"/>
  <c r="G126"/>
  <c r="F125"/>
  <c r="G125"/>
  <c r="H125"/>
  <c r="F124"/>
  <c r="G124"/>
  <c r="F29" i="5"/>
  <c r="G29"/>
  <c r="I29"/>
  <c r="F28"/>
  <c r="G28"/>
  <c r="F30"/>
  <c r="G30"/>
  <c r="C177" i="7"/>
  <c r="C178"/>
  <c r="I180" i="4"/>
  <c r="F31" i="5"/>
  <c r="G31"/>
  <c r="H31"/>
  <c r="F29" i="4"/>
  <c r="G29"/>
  <c r="H29"/>
  <c r="F93"/>
  <c r="G93"/>
  <c r="H58"/>
  <c r="I58"/>
  <c r="E177" i="7"/>
  <c r="F177"/>
  <c r="H28" i="4"/>
  <c r="E147"/>
  <c r="F147"/>
  <c r="E149"/>
  <c r="F149"/>
  <c r="E151"/>
  <c r="F151"/>
  <c r="M163"/>
  <c r="E154"/>
  <c r="F154"/>
  <c r="E148"/>
  <c r="F148"/>
  <c r="I30" i="5"/>
  <c r="H29"/>
  <c r="H95" i="4"/>
  <c r="I95"/>
  <c r="G95" i="7"/>
  <c r="J95"/>
  <c r="K95"/>
  <c r="I27" i="4"/>
  <c r="H27"/>
  <c r="E175" i="7"/>
  <c r="F175"/>
  <c r="E174"/>
  <c r="F174"/>
  <c r="E57"/>
  <c r="F57"/>
  <c r="H57"/>
  <c r="E56"/>
  <c r="F56"/>
  <c r="E58"/>
  <c r="F58"/>
  <c r="E125"/>
  <c r="F125"/>
  <c r="E176"/>
  <c r="F176"/>
  <c r="I124" i="4"/>
  <c r="H124"/>
  <c r="I126"/>
  <c r="I32" i="5"/>
  <c r="H32"/>
  <c r="H30" i="4"/>
  <c r="I30"/>
  <c r="E238" i="7"/>
  <c r="F238"/>
  <c r="H238"/>
  <c r="E242"/>
  <c r="F242"/>
  <c r="G242"/>
  <c r="E239"/>
  <c r="F239"/>
  <c r="E207"/>
  <c r="F207"/>
  <c r="H207"/>
  <c r="E208"/>
  <c r="F208"/>
  <c r="E209"/>
  <c r="F209"/>
  <c r="E210"/>
  <c r="F210"/>
  <c r="E216"/>
  <c r="F216"/>
  <c r="E211"/>
  <c r="F211"/>
  <c r="E214"/>
  <c r="F214"/>
  <c r="E215"/>
  <c r="F215"/>
  <c r="E212"/>
  <c r="F212"/>
  <c r="E213"/>
  <c r="F213"/>
  <c r="E93"/>
  <c r="F93"/>
  <c r="E94"/>
  <c r="F94"/>
  <c r="G93"/>
  <c r="H93"/>
  <c r="G207"/>
  <c r="G57"/>
  <c r="J57"/>
  <c r="K57"/>
  <c r="G213"/>
  <c r="H213"/>
  <c r="G215"/>
  <c r="H215"/>
  <c r="G211"/>
  <c r="H211"/>
  <c r="G210"/>
  <c r="H210"/>
  <c r="G239"/>
  <c r="H239"/>
  <c r="J239"/>
  <c r="H242"/>
  <c r="G238"/>
  <c r="G176"/>
  <c r="H176"/>
  <c r="H124"/>
  <c r="G124"/>
  <c r="H56"/>
  <c r="G56"/>
  <c r="J56"/>
  <c r="K56"/>
  <c r="G174"/>
  <c r="H174"/>
  <c r="H153" i="4"/>
  <c r="G153"/>
  <c r="J153"/>
  <c r="K153"/>
  <c r="E177"/>
  <c r="F177"/>
  <c r="E179"/>
  <c r="F179"/>
  <c r="M189"/>
  <c r="E178"/>
  <c r="F178"/>
  <c r="E182"/>
  <c r="F182"/>
  <c r="E181"/>
  <c r="F181"/>
  <c r="E180"/>
  <c r="F180"/>
  <c r="H151"/>
  <c r="G151"/>
  <c r="J151"/>
  <c r="K151"/>
  <c r="H149"/>
  <c r="G149"/>
  <c r="J149"/>
  <c r="K149"/>
  <c r="G147"/>
  <c r="H147"/>
  <c r="J147"/>
  <c r="K147"/>
  <c r="G177" i="7"/>
  <c r="H177"/>
  <c r="G212"/>
  <c r="H212"/>
  <c r="G209"/>
  <c r="H209"/>
  <c r="G58"/>
  <c r="H58"/>
  <c r="G175"/>
  <c r="H175"/>
  <c r="G148" i="4"/>
  <c r="H148"/>
  <c r="J148"/>
  <c r="K148"/>
  <c r="G154"/>
  <c r="H154"/>
  <c r="J154"/>
  <c r="K154"/>
  <c r="E178" i="7"/>
  <c r="F178"/>
  <c r="C179"/>
  <c r="G180" i="4"/>
  <c r="H180"/>
  <c r="J180"/>
  <c r="K180"/>
  <c r="H182"/>
  <c r="G182"/>
  <c r="J182"/>
  <c r="K182"/>
  <c r="M241"/>
  <c r="F257"/>
  <c r="E202"/>
  <c r="F202"/>
  <c r="M209"/>
  <c r="F232"/>
  <c r="E179" i="7"/>
  <c r="F179"/>
  <c r="C180"/>
  <c r="G181" i="4"/>
  <c r="H181"/>
  <c r="J181"/>
  <c r="K181"/>
  <c r="H178"/>
  <c r="G178"/>
  <c r="G179"/>
  <c r="H179"/>
  <c r="J179"/>
  <c r="K179"/>
  <c r="E180" i="7"/>
  <c r="F180"/>
  <c r="C181"/>
  <c r="G202" i="4"/>
  <c r="H202"/>
  <c r="F233"/>
  <c r="F234"/>
  <c r="F259"/>
  <c r="G259"/>
  <c r="F260"/>
  <c r="G260"/>
  <c r="F255"/>
  <c r="G255"/>
  <c r="F256"/>
  <c r="G256"/>
  <c r="H256"/>
  <c r="I256"/>
  <c r="L256"/>
  <c r="M256"/>
  <c r="G233"/>
  <c r="H233"/>
  <c r="G234"/>
  <c r="H234"/>
  <c r="E181" i="7"/>
  <c r="F181"/>
  <c r="C182"/>
  <c r="E182"/>
  <c r="F182"/>
  <c r="C183"/>
  <c r="E183"/>
  <c r="F183"/>
  <c r="H182"/>
  <c r="H183"/>
  <c r="G183"/>
  <c r="I255" i="4"/>
  <c r="H255"/>
  <c r="L255"/>
  <c r="M255"/>
  <c r="G178" i="7"/>
  <c r="H178"/>
  <c r="G232" i="4"/>
  <c r="H232"/>
  <c r="G177"/>
  <c r="H177"/>
  <c r="I177"/>
  <c r="J177"/>
  <c r="K177"/>
  <c r="H214" i="7"/>
  <c r="G214"/>
  <c r="I214"/>
  <c r="J214"/>
  <c r="K214"/>
  <c r="G125"/>
  <c r="H125"/>
  <c r="H180"/>
  <c r="G180"/>
  <c r="I259" i="4"/>
  <c r="H259"/>
  <c r="L259"/>
  <c r="M259"/>
  <c r="H179" i="7"/>
  <c r="G179"/>
  <c r="G257" i="4"/>
  <c r="H181" i="7"/>
  <c r="G181"/>
  <c r="H260" i="4"/>
  <c r="I260"/>
  <c r="L260"/>
  <c r="M260"/>
  <c r="G216" i="7"/>
  <c r="H216"/>
  <c r="I93" i="4"/>
  <c r="H93"/>
  <c r="K93"/>
  <c r="L93"/>
  <c r="H123"/>
  <c r="I123"/>
  <c r="G92" i="7"/>
  <c r="H92"/>
  <c r="I60" i="4"/>
  <c r="H60"/>
  <c r="J60"/>
  <c r="K60"/>
  <c r="L60"/>
  <c r="I63"/>
  <c r="H63"/>
  <c r="J63"/>
  <c r="K63"/>
  <c r="L63"/>
  <c r="I215" i="7"/>
  <c r="I207"/>
  <c r="J207"/>
  <c r="K207"/>
  <c r="I211"/>
  <c r="I212"/>
  <c r="J212"/>
  <c r="K212"/>
  <c r="I213"/>
  <c r="J213"/>
  <c r="K213"/>
  <c r="I210"/>
  <c r="I209"/>
  <c r="J209"/>
  <c r="K209"/>
  <c r="I216"/>
  <c r="I208"/>
  <c r="I178" i="4"/>
  <c r="J178"/>
  <c r="K178"/>
  <c r="G182" i="7"/>
  <c r="J215"/>
  <c r="K215"/>
  <c r="K95" i="4"/>
  <c r="L95"/>
  <c r="I92" i="5"/>
  <c r="I98"/>
  <c r="E241" i="7"/>
  <c r="F241"/>
  <c r="I60" i="5"/>
  <c r="J68"/>
  <c r="G94" i="7"/>
  <c r="H94"/>
  <c r="J94"/>
  <c r="K94"/>
  <c r="H126" i="4"/>
  <c r="I32"/>
  <c r="H32"/>
  <c r="I127"/>
  <c r="H127"/>
  <c r="I91"/>
  <c r="H91"/>
  <c r="K91"/>
  <c r="L91"/>
  <c r="H33" i="5"/>
  <c r="I33"/>
  <c r="J29"/>
  <c r="K29"/>
  <c r="L29"/>
  <c r="J28"/>
  <c r="H62" i="4"/>
  <c r="I62"/>
  <c r="J62"/>
  <c r="K62"/>
  <c r="L62"/>
  <c r="E59" i="7"/>
  <c r="F59"/>
  <c r="C60"/>
  <c r="J211"/>
  <c r="K211"/>
  <c r="H94" i="4"/>
  <c r="I94"/>
  <c r="K94"/>
  <c r="L94"/>
  <c r="I31"/>
  <c r="H31"/>
  <c r="H97" i="7"/>
  <c r="G97"/>
  <c r="I90" i="4"/>
  <c r="H90"/>
  <c r="K90"/>
  <c r="L90"/>
  <c r="I59"/>
  <c r="H59"/>
  <c r="J59"/>
  <c r="K59"/>
  <c r="L59"/>
  <c r="I68" i="5"/>
  <c r="H68"/>
  <c r="K68"/>
  <c r="L68"/>
  <c r="A209" i="4"/>
  <c r="A241"/>
  <c r="J210" i="7"/>
  <c r="K210"/>
  <c r="G118"/>
  <c r="H208"/>
  <c r="G208"/>
  <c r="I28" i="5"/>
  <c r="H28"/>
  <c r="G150" i="4"/>
  <c r="H150"/>
  <c r="J150"/>
  <c r="K150"/>
  <c r="E240" i="7"/>
  <c r="F240"/>
  <c r="E237"/>
  <c r="F237"/>
  <c r="H122" i="4"/>
  <c r="I122"/>
  <c r="I242" i="7"/>
  <c r="J242"/>
  <c r="I237"/>
  <c r="I238"/>
  <c r="J238"/>
  <c r="I92" i="4"/>
  <c r="H92"/>
  <c r="K92"/>
  <c r="L92"/>
  <c r="H61"/>
  <c r="I61"/>
  <c r="J61"/>
  <c r="K61"/>
  <c r="L61"/>
  <c r="I233"/>
  <c r="K233"/>
  <c r="L233"/>
  <c r="I232"/>
  <c r="K232"/>
  <c r="L232"/>
  <c r="I234"/>
  <c r="K234"/>
  <c r="L234"/>
  <c r="H98" i="5"/>
  <c r="G98"/>
  <c r="J98"/>
  <c r="K98"/>
  <c r="J33"/>
  <c r="K33"/>
  <c r="L33"/>
  <c r="J31"/>
  <c r="J32"/>
  <c r="K32"/>
  <c r="L32"/>
  <c r="E126" i="7"/>
  <c r="F126"/>
  <c r="C127"/>
  <c r="J58" i="4"/>
  <c r="K58"/>
  <c r="L58"/>
  <c r="F258"/>
  <c r="J93" i="7"/>
  <c r="K93"/>
  <c r="I31" i="5"/>
  <c r="K31"/>
  <c r="L31"/>
  <c r="G115" i="4"/>
  <c r="G168" i="7"/>
  <c r="G20" i="4"/>
  <c r="E96" i="7"/>
  <c r="F96"/>
  <c r="I64"/>
  <c r="I60"/>
  <c r="I61"/>
  <c r="C67" i="5"/>
  <c r="D67"/>
  <c r="F67"/>
  <c r="G67"/>
  <c r="I53"/>
  <c r="I55"/>
  <c r="J67"/>
  <c r="H30"/>
  <c r="K30"/>
  <c r="L30"/>
  <c r="E152" i="4"/>
  <c r="F152"/>
  <c r="E156"/>
  <c r="F156"/>
  <c r="E155"/>
  <c r="F155"/>
  <c r="I240" i="7"/>
  <c r="I63"/>
  <c r="I62"/>
  <c r="I29" i="4"/>
  <c r="I125"/>
  <c r="I58" i="7"/>
  <c r="J58"/>
  <c r="K58"/>
  <c r="H67" i="5"/>
  <c r="I67"/>
  <c r="K67"/>
  <c r="L67"/>
  <c r="C128" i="7"/>
  <c r="E127"/>
  <c r="F127"/>
  <c r="H240"/>
  <c r="G240"/>
  <c r="J240"/>
  <c r="E60"/>
  <c r="F60"/>
  <c r="C61"/>
  <c r="J122" i="4"/>
  <c r="K122"/>
  <c r="L122"/>
  <c r="J124"/>
  <c r="K124"/>
  <c r="L124"/>
  <c r="J125"/>
  <c r="K125"/>
  <c r="L125"/>
  <c r="J123"/>
  <c r="K123"/>
  <c r="L123"/>
  <c r="J127"/>
  <c r="K127"/>
  <c r="L127"/>
  <c r="J126"/>
  <c r="K126"/>
  <c r="L126"/>
  <c r="G258"/>
  <c r="H237" i="7"/>
  <c r="G237"/>
  <c r="J237"/>
  <c r="J208"/>
  <c r="K208"/>
  <c r="J97"/>
  <c r="K97"/>
  <c r="J92"/>
  <c r="K92"/>
  <c r="I181"/>
  <c r="J181"/>
  <c r="K181"/>
  <c r="I176"/>
  <c r="J176"/>
  <c r="K176"/>
  <c r="I178"/>
  <c r="J178"/>
  <c r="K178"/>
  <c r="I177"/>
  <c r="J177"/>
  <c r="K177"/>
  <c r="I183"/>
  <c r="J183"/>
  <c r="K183"/>
  <c r="I180"/>
  <c r="J180"/>
  <c r="K180"/>
  <c r="I174"/>
  <c r="J174"/>
  <c r="K174"/>
  <c r="I179"/>
  <c r="J179"/>
  <c r="K179"/>
  <c r="I175"/>
  <c r="J175"/>
  <c r="K175"/>
  <c r="I182"/>
  <c r="J182"/>
  <c r="K182"/>
  <c r="H241"/>
  <c r="G241"/>
  <c r="J241"/>
  <c r="G96"/>
  <c r="H96"/>
  <c r="J96"/>
  <c r="K96"/>
  <c r="G152" i="4"/>
  <c r="H152"/>
  <c r="J152"/>
  <c r="K152"/>
  <c r="G156"/>
  <c r="H156"/>
  <c r="J156"/>
  <c r="K156"/>
  <c r="G155"/>
  <c r="H155"/>
  <c r="J155"/>
  <c r="K155"/>
  <c r="J32"/>
  <c r="K32"/>
  <c r="L32"/>
  <c r="J31"/>
  <c r="J27"/>
  <c r="K27"/>
  <c r="L27"/>
  <c r="J28"/>
  <c r="K28"/>
  <c r="L28"/>
  <c r="J30"/>
  <c r="K30"/>
  <c r="L30"/>
  <c r="J29"/>
  <c r="H126" i="7"/>
  <c r="G126"/>
  <c r="I126"/>
  <c r="J126"/>
  <c r="K126"/>
  <c r="I131"/>
  <c r="I127"/>
  <c r="I125"/>
  <c r="J125"/>
  <c r="K125"/>
  <c r="I130"/>
  <c r="I124"/>
  <c r="J124"/>
  <c r="K124"/>
  <c r="I128"/>
  <c r="I133"/>
  <c r="I129"/>
  <c r="I132"/>
  <c r="H59"/>
  <c r="G59"/>
  <c r="J59"/>
  <c r="K59"/>
  <c r="H257" i="4"/>
  <c r="I257"/>
  <c r="K29"/>
  <c r="L29"/>
  <c r="K28" i="5"/>
  <c r="L28"/>
  <c r="K31" i="4"/>
  <c r="L31"/>
  <c r="J216" i="7"/>
  <c r="K216"/>
  <c r="G60"/>
  <c r="H60"/>
  <c r="J60"/>
  <c r="K60"/>
  <c r="H258" i="4"/>
  <c r="I258"/>
  <c r="C62" i="7"/>
  <c r="E61"/>
  <c r="F61"/>
  <c r="E128"/>
  <c r="F128"/>
  <c r="C129"/>
  <c r="H127"/>
  <c r="G127"/>
  <c r="J127"/>
  <c r="K127"/>
  <c r="L257" i="4"/>
  <c r="M257"/>
  <c r="L258"/>
  <c r="M258"/>
  <c r="C130" i="7"/>
  <c r="E129"/>
  <c r="F129"/>
  <c r="E62"/>
  <c r="F62"/>
  <c r="C63"/>
  <c r="G61"/>
  <c r="H61"/>
  <c r="J61"/>
  <c r="K61"/>
  <c r="H128"/>
  <c r="G128"/>
  <c r="J128"/>
  <c r="K128"/>
  <c r="H62"/>
  <c r="G62"/>
  <c r="J62"/>
  <c r="K62"/>
  <c r="C131"/>
  <c r="E130"/>
  <c r="F130"/>
  <c r="C64"/>
  <c r="E63"/>
  <c r="F63"/>
  <c r="G129"/>
  <c r="H129"/>
  <c r="J129"/>
  <c r="K129"/>
  <c r="G63"/>
  <c r="H63"/>
  <c r="J63"/>
  <c r="K63"/>
  <c r="C132"/>
  <c r="E131"/>
  <c r="F131"/>
  <c r="E64"/>
  <c r="F64"/>
  <c r="C65"/>
  <c r="E65"/>
  <c r="F65"/>
  <c r="G130"/>
  <c r="H130"/>
  <c r="J130"/>
  <c r="K130"/>
  <c r="C133"/>
  <c r="E133"/>
  <c r="F133"/>
  <c r="E132"/>
  <c r="F132"/>
  <c r="H64"/>
  <c r="G64"/>
  <c r="J64"/>
  <c r="K64"/>
  <c r="G65"/>
  <c r="H65"/>
  <c r="J65"/>
  <c r="K65"/>
  <c r="H131"/>
  <c r="G131"/>
  <c r="J131"/>
  <c r="K131"/>
  <c r="G133"/>
  <c r="H133"/>
  <c r="J133"/>
  <c r="K133"/>
  <c r="G132"/>
  <c r="H132"/>
  <c r="J132"/>
  <c r="K132"/>
</calcChain>
</file>

<file path=xl/sharedStrings.xml><?xml version="1.0" encoding="utf-8"?>
<sst xmlns="http://schemas.openxmlformats.org/spreadsheetml/2006/main" count="2305" uniqueCount="746">
  <si>
    <t>Количество этажей -</t>
  </si>
  <si>
    <t xml:space="preserve">Численность проживающих - </t>
  </si>
  <si>
    <t xml:space="preserve">Уборочная площадь лестниц - </t>
  </si>
  <si>
    <t>Количество лифтов -</t>
  </si>
  <si>
    <t>Характеристика придомовой территории:</t>
  </si>
  <si>
    <t>Вся территория 1 класса</t>
  </si>
  <si>
    <t xml:space="preserve"> - площадь газонов</t>
  </si>
  <si>
    <t xml:space="preserve">Утвержденная норма накопления - </t>
  </si>
  <si>
    <t>8.</t>
  </si>
  <si>
    <t>Пробег до полигона за городом</t>
  </si>
  <si>
    <t>дороги с усовершенствованным покрытием;</t>
  </si>
  <si>
    <t>9.</t>
  </si>
  <si>
    <t>Средний объем вывоза ТБО за 1 рейс -</t>
  </si>
  <si>
    <t>Коэффициент невыходов:</t>
  </si>
  <si>
    <t xml:space="preserve"> - для односменного режима работы - </t>
  </si>
  <si>
    <t xml:space="preserve"> - для круглосуточного -</t>
  </si>
  <si>
    <t xml:space="preserve"> 2.1</t>
  </si>
  <si>
    <t>МКД</t>
  </si>
  <si>
    <t>Наличие</t>
  </si>
  <si>
    <t>водоснабжения, водоотведения</t>
  </si>
  <si>
    <t xml:space="preserve">центр. отоплением и электроснабжением, </t>
  </si>
  <si>
    <t xml:space="preserve">год постройки </t>
  </si>
  <si>
    <t xml:space="preserve"> -площадь терр. с усовершен.покрытиями</t>
  </si>
  <si>
    <t xml:space="preserve"> - площадь территории без покрытий</t>
  </si>
  <si>
    <t xml:space="preserve">Водосточных труб </t>
  </si>
  <si>
    <t>нет;</t>
  </si>
  <si>
    <t>Аварийное обслуживание</t>
  </si>
  <si>
    <t>Типовое здание</t>
  </si>
  <si>
    <t xml:space="preserve"> 2.2</t>
  </si>
  <si>
    <t>да</t>
  </si>
  <si>
    <t>Газовыми</t>
  </si>
  <si>
    <t>Квартиры оборудованы  плитами</t>
  </si>
  <si>
    <t>Утвержденная норма накопления (м3/год)</t>
  </si>
  <si>
    <t>Общяя площадь жилых помещений  (м2)</t>
  </si>
  <si>
    <t>/лет</t>
  </si>
  <si>
    <t>нет</t>
  </si>
  <si>
    <t xml:space="preserve"> 2.3</t>
  </si>
  <si>
    <t>режим работы лифта (час в сут)</t>
  </si>
  <si>
    <t>мусоропровода</t>
  </si>
  <si>
    <t xml:space="preserve"> 2.4</t>
  </si>
  <si>
    <t>электро</t>
  </si>
  <si>
    <t xml:space="preserve"> 2.6</t>
  </si>
  <si>
    <t>Белинс-кого 43</t>
  </si>
  <si>
    <t xml:space="preserve"> круглосут</t>
  </si>
  <si>
    <t xml:space="preserve"> 2.7</t>
  </si>
  <si>
    <t xml:space="preserve"> 2.8</t>
  </si>
  <si>
    <t xml:space="preserve"> 2.9</t>
  </si>
  <si>
    <t>Разряд</t>
  </si>
  <si>
    <t>Коэфф.</t>
  </si>
  <si>
    <t>Тип благоустройства</t>
  </si>
  <si>
    <t>Тарифные коэффициенты по ЕТС (методические рекомендации по организации оплаты труда в ЖКХ)</t>
  </si>
  <si>
    <t>2)</t>
  </si>
  <si>
    <t>3)</t>
  </si>
  <si>
    <t>4)</t>
  </si>
  <si>
    <t>действующий при</t>
  </si>
  <si>
    <t>учтенный при</t>
  </si>
  <si>
    <t>пимечание</t>
  </si>
  <si>
    <t>тариф 1 разряда</t>
  </si>
  <si>
    <t>Плановый</t>
  </si>
  <si>
    <t>рост</t>
  </si>
  <si>
    <t>Стимулирующие надбавки</t>
  </si>
  <si>
    <t>Районный коэффициент</t>
  </si>
  <si>
    <t>Отчисления от заработной платы</t>
  </si>
  <si>
    <t>Показатель</t>
  </si>
  <si>
    <t xml:space="preserve"> 2.5</t>
  </si>
  <si>
    <t>Общехозяйственные расходы</t>
  </si>
  <si>
    <t>Часовая ставка 1 разряда (руб/час)</t>
  </si>
  <si>
    <t>Калькуляция затрат по содержанию помещений общего пользования</t>
  </si>
  <si>
    <t xml:space="preserve"> - по домам (без лифта и м/провода) от 2 до 5 этаж.- </t>
  </si>
  <si>
    <t xml:space="preserve"> - по домам с лифтом (8-9 этаж)</t>
  </si>
  <si>
    <t xml:space="preserve"> по домам с лифтом и м/проводом (8-9 этаж)</t>
  </si>
  <si>
    <t>№</t>
  </si>
  <si>
    <t>Наименование</t>
  </si>
  <si>
    <t>п/п</t>
  </si>
  <si>
    <t>материалов</t>
  </si>
  <si>
    <t>в год</t>
  </si>
  <si>
    <t>Уборка лестничных площадок и маршей</t>
  </si>
  <si>
    <t>1.</t>
  </si>
  <si>
    <t>Ведро</t>
  </si>
  <si>
    <t>2.</t>
  </si>
  <si>
    <t>Веник обыкновенный</t>
  </si>
  <si>
    <t>шт./год</t>
  </si>
  <si>
    <t>4.</t>
  </si>
  <si>
    <t>Совок</t>
  </si>
  <si>
    <t>5.</t>
  </si>
  <si>
    <t>Швабра</t>
  </si>
  <si>
    <t>6.</t>
  </si>
  <si>
    <t>Щетка</t>
  </si>
  <si>
    <t>Стои-</t>
  </si>
  <si>
    <t>мость</t>
  </si>
  <si>
    <t>Нормы расхода материальных ресурсов в год</t>
  </si>
  <si>
    <t>без лифта</t>
  </si>
  <si>
    <t>и м/провод</t>
  </si>
  <si>
    <t>с лифтом</t>
  </si>
  <si>
    <t>без м/провод</t>
  </si>
  <si>
    <t>2-5 эт</t>
  </si>
  <si>
    <t>8-9 эт</t>
  </si>
  <si>
    <t>с м/провод</t>
  </si>
  <si>
    <t>Материальные затраты в год</t>
  </si>
  <si>
    <t>Ед.</t>
  </si>
  <si>
    <t>изм.</t>
  </si>
  <si>
    <t>Затраты на уборку лестничных площадок и маршей</t>
  </si>
  <si>
    <t>благ</t>
  </si>
  <si>
    <t>Полез-</t>
  </si>
  <si>
    <t>ная</t>
  </si>
  <si>
    <t>пло</t>
  </si>
  <si>
    <t>щадь</t>
  </si>
  <si>
    <t>Убороч</t>
  </si>
  <si>
    <t>Норма</t>
  </si>
  <si>
    <t>вре-</t>
  </si>
  <si>
    <t>мени</t>
  </si>
  <si>
    <t>Состав затрат</t>
  </si>
  <si>
    <t>ФОТ</t>
  </si>
  <si>
    <t>отчисл</t>
  </si>
  <si>
    <t>План.</t>
  </si>
  <si>
    <t>коэфф</t>
  </si>
  <si>
    <t>обще</t>
  </si>
  <si>
    <t>хоз</t>
  </si>
  <si>
    <t>Матер</t>
  </si>
  <si>
    <t>затра</t>
  </si>
  <si>
    <t>ты</t>
  </si>
  <si>
    <t xml:space="preserve">Всего </t>
  </si>
  <si>
    <t>затрат</t>
  </si>
  <si>
    <t>с коэф</t>
  </si>
  <si>
    <t>Затраты</t>
  </si>
  <si>
    <t>на 1 м2</t>
  </si>
  <si>
    <t>Разряд работ/тарифный коэфф.</t>
  </si>
  <si>
    <t>в месяц</t>
  </si>
  <si>
    <t>Уборка кабин лифтов</t>
  </si>
  <si>
    <t>Материальные затраты (необходимые) на 1000 м2 лестничных площадок и клеток (табл 3)</t>
  </si>
  <si>
    <t>Норма времени на 1000м2 жилых помещений  чел/час - 9-ти этаж (табл8)</t>
  </si>
  <si>
    <t>Моющее средство</t>
  </si>
  <si>
    <t>Метла</t>
  </si>
  <si>
    <t>3.</t>
  </si>
  <si>
    <t>Материальные затраты (необходимые) на 1000 м2 жилых помещений (табл 10)</t>
  </si>
  <si>
    <t xml:space="preserve">Наименование </t>
  </si>
  <si>
    <t>Уборка мусороприемных камер и загрузочных клапанов</t>
  </si>
  <si>
    <t>ед</t>
  </si>
  <si>
    <t>изм</t>
  </si>
  <si>
    <t>нормы</t>
  </si>
  <si>
    <t xml:space="preserve"> расхода</t>
  </si>
  <si>
    <t>Материальные затраты</t>
  </si>
  <si>
    <t xml:space="preserve"> в год</t>
  </si>
  <si>
    <t xml:space="preserve">на  </t>
  </si>
  <si>
    <t>1 т м2</t>
  </si>
  <si>
    <t xml:space="preserve">на </t>
  </si>
  <si>
    <t>объем</t>
  </si>
  <si>
    <t>мусороприемных камер</t>
  </si>
  <si>
    <t>Шланг поли-вочный (25 п.м.)</t>
  </si>
  <si>
    <t>шт</t>
  </si>
  <si>
    <t>кг</t>
  </si>
  <si>
    <t>Общая</t>
  </si>
  <si>
    <t>площадь</t>
  </si>
  <si>
    <t>на</t>
  </si>
  <si>
    <t>1000м2</t>
  </si>
  <si>
    <t>загрузочные клапана</t>
  </si>
  <si>
    <t xml:space="preserve">Мусор. </t>
  </si>
  <si>
    <t>камер</t>
  </si>
  <si>
    <t>Загруз</t>
  </si>
  <si>
    <t>клапан</t>
  </si>
  <si>
    <t>Затраты на уборка мусороприемных камер и загрузочных клапанов</t>
  </si>
  <si>
    <t>тарифы  2.4, 2.5</t>
  </si>
  <si>
    <t>м</t>
  </si>
  <si>
    <t>Состав рабочих: рабочий по комплексному обслуживанию и ремонту зданий</t>
  </si>
  <si>
    <t>Состав рабочих: уборщик мусоропроводов</t>
  </si>
  <si>
    <t>мусороприем.кам.</t>
  </si>
  <si>
    <t>Загр.клапана</t>
  </si>
  <si>
    <t>Норматив трудовых затрат на 1000 м2 общей площади жилых помещений (необходимая) чел/час  (7-9 эт)</t>
  </si>
  <si>
    <t>(табл.5)</t>
  </si>
  <si>
    <t>(табл 7)</t>
  </si>
  <si>
    <t>веник</t>
  </si>
  <si>
    <t>совок</t>
  </si>
  <si>
    <t>Мешкавина</t>
  </si>
  <si>
    <t>Затраты на уборку кабин лифтов</t>
  </si>
  <si>
    <t xml:space="preserve"> 2,3- </t>
  </si>
  <si>
    <t xml:space="preserve"> 2.10</t>
  </si>
  <si>
    <t>Калькуляция затрат по уборке придомовой территории</t>
  </si>
  <si>
    <t>Состав рабочих: дворник</t>
  </si>
  <si>
    <t>Уборка мусора с газона</t>
  </si>
  <si>
    <t>Норма времени на уборку 1000м2 газона (необходимая) чел./час (табл 20)</t>
  </si>
  <si>
    <t>Грабли</t>
  </si>
  <si>
    <t>Лопата совковая</t>
  </si>
  <si>
    <t>Метла березовая</t>
  </si>
  <si>
    <t>Мешки полиэтиленовые</t>
  </si>
  <si>
    <t>Тележка</t>
  </si>
  <si>
    <t>Материальные затраты (необходимые) на 1000 м2 газонов (табл 21)</t>
  </si>
  <si>
    <t>Ведро                             шт</t>
  </si>
  <si>
    <t>норма</t>
  </si>
  <si>
    <t>расхода</t>
  </si>
  <si>
    <t>расход</t>
  </si>
  <si>
    <t>на 1000м2</t>
  </si>
  <si>
    <t>газона</t>
  </si>
  <si>
    <t>на 1 т.м2</t>
  </si>
  <si>
    <t>Поправочный коэффиент = 0,5</t>
  </si>
  <si>
    <t>Подметание участка в летний период</t>
  </si>
  <si>
    <t>Норма времени на уборку 1000м2 территории усовершенственное покрытие 1 класса (оптимальная) чел./час (табл 20)</t>
  </si>
  <si>
    <t>Материальные затраты (необходимые) на 1000 м2 территории (табл 18)</t>
  </si>
  <si>
    <t>территор</t>
  </si>
  <si>
    <t>рии</t>
  </si>
  <si>
    <t>Сдвижка снега при отсутствии снегопада</t>
  </si>
  <si>
    <t>Затраты на подметание участка в летний период</t>
  </si>
  <si>
    <t>движок                             шт</t>
  </si>
  <si>
    <t>лопата штыковая</t>
  </si>
  <si>
    <t>лопата совковая</t>
  </si>
  <si>
    <t>метла березовая</t>
  </si>
  <si>
    <t>скребок</t>
  </si>
  <si>
    <t>Норма времени на уборку 10000м2 территории усовершенственное покрытие 1 класса (оптимальная) чел./час (табл 35)</t>
  </si>
  <si>
    <t>10000м2</t>
  </si>
  <si>
    <t>на 10000м2</t>
  </si>
  <si>
    <t>на 10 т.м2</t>
  </si>
  <si>
    <t>Затраты на сдвижку снега при отсутствии снегопада</t>
  </si>
  <si>
    <t>Сдвижка снега и подметание при снегопаде</t>
  </si>
  <si>
    <t>Норма времени на уборку 1000м2 территории усовершенственное покрытие 1 класса  чел./час (табл 40)</t>
  </si>
  <si>
    <t>Затраты на сдвижку и подметание при снегопаде</t>
  </si>
  <si>
    <t>Очистка урн</t>
  </si>
  <si>
    <t>Материальные затраты (необходимые) на 10000 м2 территории (табл 38)</t>
  </si>
  <si>
    <t>Материальные затраты (необходимые) на 10000 м2 территории (табл 44)</t>
  </si>
  <si>
    <t>СТОИМОСТЬ МАТЕРИАЛОВ</t>
  </si>
  <si>
    <t xml:space="preserve">шт </t>
  </si>
  <si>
    <t>Норма времени на уборку 1000м2 общей площади (необходимая)  чел./час (табл 25)</t>
  </si>
  <si>
    <t>до  5 этажей</t>
  </si>
  <si>
    <t>от 6 до 9 этажей</t>
  </si>
  <si>
    <t>Материальные затраты (необходимые) на 1000 м2 общей площади (табл 27)</t>
  </si>
  <si>
    <t>площади</t>
  </si>
  <si>
    <t>норма расхода</t>
  </si>
  <si>
    <t>до 5 этаж</t>
  </si>
  <si>
    <t>6-9 эт</t>
  </si>
  <si>
    <t>расход 100м2</t>
  </si>
  <si>
    <t>общей площади</t>
  </si>
  <si>
    <t>Затраты на очистку урн</t>
  </si>
  <si>
    <t>Уборка мусора на контейнерных площадках</t>
  </si>
  <si>
    <t>Норма времени на уборку 1000м2 общей площади (необходимая)  чел./час (табл 29)</t>
  </si>
  <si>
    <t>Материальные затраты (необходимые) на 1000 м2 общей площади (табл 33)</t>
  </si>
  <si>
    <t>общец</t>
  </si>
  <si>
    <t>Затраты на уборку мусора на контейнерных площадках</t>
  </si>
  <si>
    <t>Затраты на уборку мусора с газона</t>
  </si>
  <si>
    <t>Состав работы Загрузка КГГ в кузов от контейнерных площадок и площадок мусоропроводов. Транспортировка к месту</t>
  </si>
  <si>
    <t xml:space="preserve">                        утилизации*свалки. Выгрузка и очиска кузова от мусора вручную</t>
  </si>
  <si>
    <r>
      <t xml:space="preserve">Вывоз крупно габаритного груза </t>
    </r>
    <r>
      <rPr>
        <sz val="10"/>
        <rFont val="Arial Cyr"/>
        <charset val="204"/>
      </rPr>
      <t>(по данным ЖЭУ-2)</t>
    </r>
  </si>
  <si>
    <t>руб</t>
  </si>
  <si>
    <t>руб/год</t>
  </si>
  <si>
    <t>Норма времени на 1 м3 мусора</t>
  </si>
  <si>
    <t>0,40 ч/час</t>
  </si>
  <si>
    <t>Затраты на вывоз КГГ</t>
  </si>
  <si>
    <t>на 1 м3</t>
  </si>
  <si>
    <t>Талоны</t>
  </si>
  <si>
    <t>Аренда</t>
  </si>
  <si>
    <t>трактора</t>
  </si>
  <si>
    <t>Спецодеж</t>
  </si>
  <si>
    <t>Т/Б</t>
  </si>
  <si>
    <t>Калькуляция затрат по подготовке к сезонной эксплуатации</t>
  </si>
  <si>
    <t>Ремонт, регулировка, промывка, испытание, расконсервация систем центрального отопления</t>
  </si>
  <si>
    <t>Состав рабочих</t>
  </si>
  <si>
    <t>Слесарь сантехник</t>
  </si>
  <si>
    <t>времени</t>
  </si>
  <si>
    <t>разряд</t>
  </si>
  <si>
    <t>тариф.</t>
  </si>
  <si>
    <t>коэфф.</t>
  </si>
  <si>
    <t>Часов.</t>
  </si>
  <si>
    <t>ставка</t>
  </si>
  <si>
    <t>Изолировщик</t>
  </si>
  <si>
    <t>Итого</t>
  </si>
  <si>
    <t>Материальные затраты (необходимые) на 1000 м2 общей площади (табл 62)</t>
  </si>
  <si>
    <t>Трубы стальные 15 мм</t>
  </si>
  <si>
    <t>Трубы стальные 20 мм</t>
  </si>
  <si>
    <t>Трубы стальные 25 мм</t>
  </si>
  <si>
    <t>Трубы стальные 32 мм</t>
  </si>
  <si>
    <t>Трубы стальные 40 мм</t>
  </si>
  <si>
    <t>Скоба</t>
  </si>
  <si>
    <t>7.</t>
  </si>
  <si>
    <t>Сурик</t>
  </si>
  <si>
    <t>Олифа</t>
  </si>
  <si>
    <t>Кронштейны</t>
  </si>
  <si>
    <t>10.</t>
  </si>
  <si>
    <t>Дюбели-гвозди</t>
  </si>
  <si>
    <t>11.</t>
  </si>
  <si>
    <t>Болты с гайками</t>
  </si>
  <si>
    <t>12.</t>
  </si>
  <si>
    <t>Электроды Э-42</t>
  </si>
  <si>
    <t>13.</t>
  </si>
  <si>
    <t>Асбест</t>
  </si>
  <si>
    <t>14.</t>
  </si>
  <si>
    <t>Паронит</t>
  </si>
  <si>
    <t>15.</t>
  </si>
  <si>
    <t>Лен трепаный</t>
  </si>
  <si>
    <t>16.</t>
  </si>
  <si>
    <t>Набивка для сальников</t>
  </si>
  <si>
    <t>17.</t>
  </si>
  <si>
    <t>Масло минеральное</t>
  </si>
  <si>
    <t>18.</t>
  </si>
  <si>
    <t>Сетка металлическая</t>
  </si>
  <si>
    <t>20*20мм, Д = 1,5 мм</t>
  </si>
  <si>
    <t>19.</t>
  </si>
  <si>
    <t>20.</t>
  </si>
  <si>
    <t>Паста корундовая</t>
  </si>
  <si>
    <t>21.</t>
  </si>
  <si>
    <t>Проволока оцинкованная</t>
  </si>
  <si>
    <t>22.</t>
  </si>
  <si>
    <t>Минераловатные маты</t>
  </si>
  <si>
    <t>23.</t>
  </si>
  <si>
    <t>Ацетилен</t>
  </si>
  <si>
    <t>24.</t>
  </si>
  <si>
    <t>Маты из крафт-бумаги</t>
  </si>
  <si>
    <t>25.</t>
  </si>
  <si>
    <t>Раствор асбоцементный</t>
  </si>
  <si>
    <t>26.</t>
  </si>
  <si>
    <t>Арматура муфтовая</t>
  </si>
  <si>
    <t>27.</t>
  </si>
  <si>
    <t>Вентиль</t>
  </si>
  <si>
    <t>28.</t>
  </si>
  <si>
    <t>Краны</t>
  </si>
  <si>
    <t>29.</t>
  </si>
  <si>
    <t>Фланцы стальные</t>
  </si>
  <si>
    <t>30.</t>
  </si>
  <si>
    <t>Резиновые прокладки</t>
  </si>
  <si>
    <t>31.</t>
  </si>
  <si>
    <t>Задвижки</t>
  </si>
  <si>
    <t>32.</t>
  </si>
  <si>
    <t>Прокладки паронитовые, 3мм</t>
  </si>
  <si>
    <t>п/м</t>
  </si>
  <si>
    <t>м3</t>
  </si>
  <si>
    <t>Затраты на ремонт, регулировка, промывка, испытание, расконсервация систем центрального отопления</t>
  </si>
  <si>
    <t>Ремонт просевшей отмостки вручную</t>
  </si>
  <si>
    <t>Норма времени на 1000м2 общей площади (от 11 до 30 лет)  чел./час (табл 61)</t>
  </si>
  <si>
    <t>Подсобный раб</t>
  </si>
  <si>
    <t>Норма времени на 1000м2 общей площади (до 70 лет)  чел./час (табл 52)</t>
  </si>
  <si>
    <t>Асфальто бетон</t>
  </si>
  <si>
    <t>Асфальт литой</t>
  </si>
  <si>
    <t>л</t>
  </si>
  <si>
    <t>Битум</t>
  </si>
  <si>
    <t>Затраты на ремонт просевшей отмостки вручную</t>
  </si>
  <si>
    <t>РАССЧЕТ РАЗМЕРА ПЛАТЫ ЗА ЖИЛИЩНЫЕ УСЛУГИ на 2013г.</t>
  </si>
  <si>
    <t>Наимено-</t>
  </si>
  <si>
    <t>Пе-</t>
  </si>
  <si>
    <t>Трудовые затраты</t>
  </si>
  <si>
    <t>Ма</t>
  </si>
  <si>
    <t>Механизмы</t>
  </si>
  <si>
    <t>Наклад</t>
  </si>
  <si>
    <t>Рен-</t>
  </si>
  <si>
    <t xml:space="preserve">Общая </t>
  </si>
  <si>
    <t>Итого затрат</t>
  </si>
  <si>
    <t>вание</t>
  </si>
  <si>
    <t>ри</t>
  </si>
  <si>
    <t>наименование</t>
  </si>
  <si>
    <t>раз-</t>
  </si>
  <si>
    <t>чис-</t>
  </si>
  <si>
    <t>продол-</t>
  </si>
  <si>
    <t>те</t>
  </si>
  <si>
    <t>наимено</t>
  </si>
  <si>
    <t>стои-</t>
  </si>
  <si>
    <t>рас-</t>
  </si>
  <si>
    <t>зат</t>
  </si>
  <si>
    <t>ные</t>
  </si>
  <si>
    <t>табель</t>
  </si>
  <si>
    <t>пло-</t>
  </si>
  <si>
    <t>всего</t>
  </si>
  <si>
    <t xml:space="preserve">в расчете </t>
  </si>
  <si>
    <t>оди</t>
  </si>
  <si>
    <t>рабочих</t>
  </si>
  <si>
    <t>ряд</t>
  </si>
  <si>
    <t>лен-</t>
  </si>
  <si>
    <t>житель</t>
  </si>
  <si>
    <t>с отчис-</t>
  </si>
  <si>
    <t>ход</t>
  </si>
  <si>
    <t>раты</t>
  </si>
  <si>
    <t>ность</t>
  </si>
  <si>
    <t>чно</t>
  </si>
  <si>
    <t>лениями</t>
  </si>
  <si>
    <t>алы</t>
  </si>
  <si>
    <t>(руб/</t>
  </si>
  <si>
    <t>ходы</t>
  </si>
  <si>
    <t>(м2)</t>
  </si>
  <si>
    <t>с учетом</t>
  </si>
  <si>
    <t>сть</t>
  </si>
  <si>
    <t>(час)</t>
  </si>
  <si>
    <t>(руб)</t>
  </si>
  <si>
    <t>час)</t>
  </si>
  <si>
    <t>периодичн.</t>
  </si>
  <si>
    <t>Опресовка систем отопления</t>
  </si>
  <si>
    <t>Состав работы: наружный осмотр, установка заглушки и манометра, присоединение водопровода и гидравлического преса, наполнение системы отопления водой до заданного давления, осмотр трубопровода с отметкой дефектных мест, спуск воды из трубопровода и устронение дедектов, вторичное наполнение системы в целом до заданного давления, осмотр и проверка системы, снижение давления и устранение дефектов, спуск воды из системы, снятие заглушки, манометра, отсоединение пресса. Примечание: устранение дефектов, требующее замены отдельных участков трубопровода и применение сварочных работ осуществляется за счет средств на текущий и (или) капитальный ремонты.</t>
  </si>
  <si>
    <t>3-х этаж</t>
  </si>
  <si>
    <t>1раз/</t>
  </si>
  <si>
    <t>Слесарь-сантех</t>
  </si>
  <si>
    <t>гидропресс</t>
  </si>
  <si>
    <t>год</t>
  </si>
  <si>
    <t>5-этаж</t>
  </si>
  <si>
    <t>9-этаж</t>
  </si>
  <si>
    <t>Промывка систем отопления с барбатированием без применения СМС</t>
  </si>
  <si>
    <t>компресор</t>
  </si>
  <si>
    <t>Примечание:</t>
  </si>
  <si>
    <t>1) Тарифные коэффициенты по ЕТС (методические рекомендации по организации оплаты труда в ЖКХ)</t>
  </si>
  <si>
    <t xml:space="preserve">2) месячный фонд времени 165 час   Плановые потери рабочего времени 12%   </t>
  </si>
  <si>
    <t xml:space="preserve">   тариф 1 разряда, учтенный в тарифах на 2012г.- 3410  Плановый рост на 2013г. (Письмо ОРПЖ от 27.02.12г. №01/57-В)-1,06</t>
  </si>
  <si>
    <t>Премия 45% районный коэфф.- 25%Отчисления от заработной платы-26,3% Общехозяйственные расходы-90%</t>
  </si>
  <si>
    <t>3) в соответствии с постановлением Правительства РФ №354 затраты по воде, канализации, эл.энергии учитываются в "Затратах на места общего пользования"</t>
  </si>
  <si>
    <t xml:space="preserve">4) расчет исполнен на примере </t>
  </si>
  <si>
    <t xml:space="preserve">9-этаж- ул.Комсомольская 15 -S= 8332 м2 Ч= 381 чел     5-этаж.- мр.Центральный 20- -S= 3015 м2 Ч= 218 чел  3-х этаж -S= 865,2 м2 Ч= 33 чел  </t>
  </si>
  <si>
    <t>Стекольщик</t>
  </si>
  <si>
    <t>Норма времени на 1000м2 общей площади (от 21 до 30 лет)  чел./час (табл 55)</t>
  </si>
  <si>
    <t>Материальные затраты (необходимые) на 1000 м2 общей площади (табл 57)</t>
  </si>
  <si>
    <t>Стекло</t>
  </si>
  <si>
    <t>Замазка:</t>
  </si>
  <si>
    <t xml:space="preserve">  меловая</t>
  </si>
  <si>
    <t xml:space="preserve">  белильная</t>
  </si>
  <si>
    <t xml:space="preserve">  железно-суриковая</t>
  </si>
  <si>
    <t>Проволока стальная</t>
  </si>
  <si>
    <t>Прокладка резиновая</t>
  </si>
  <si>
    <t>Штапики</t>
  </si>
  <si>
    <t>м2</t>
  </si>
  <si>
    <t>Замена разбитых стекол окон и дверей в помещениях общего пользования</t>
  </si>
  <si>
    <t>Затраты на замену разбитых стекол окон и дверей в помещениях общего пользования</t>
  </si>
  <si>
    <t>Ремонт и укрепление входных дверей</t>
  </si>
  <si>
    <t>Норма времени на 1000м2 общей площади (от 21 до 30 лет)  чел./час (табл 58)</t>
  </si>
  <si>
    <t>Столяр строител</t>
  </si>
  <si>
    <t>Плотник</t>
  </si>
  <si>
    <t>Слесарь</t>
  </si>
  <si>
    <t>Маляр</t>
  </si>
  <si>
    <t>Материальные затраты (необходимые) на 1000 м2 общей площади (табл 60)</t>
  </si>
  <si>
    <t>Планка</t>
  </si>
  <si>
    <t>Дверные ручки</t>
  </si>
  <si>
    <t>Дверные пружины</t>
  </si>
  <si>
    <t>Клинья деревянные</t>
  </si>
  <si>
    <t>Ерш деревянный</t>
  </si>
  <si>
    <t>Бруски хвойные, обрезные,</t>
  </si>
  <si>
    <t>Коробки дверные</t>
  </si>
  <si>
    <t>Наличники дверных проемов</t>
  </si>
  <si>
    <t>Дверные петли</t>
  </si>
  <si>
    <t>Металлические листы</t>
  </si>
  <si>
    <t>Дверной блок</t>
  </si>
  <si>
    <t>Пена полиуритановая</t>
  </si>
  <si>
    <t>Шурупы стальные</t>
  </si>
  <si>
    <t>Гвозди</t>
  </si>
  <si>
    <t>длиной 2-6,5м</t>
  </si>
  <si>
    <t>Масляная краска</t>
  </si>
  <si>
    <t>пар</t>
  </si>
  <si>
    <t>Затраты на ремонт и укрепление входных дверей</t>
  </si>
  <si>
    <t>Утепление и прочистка дымовентиляционных каналов</t>
  </si>
  <si>
    <t>Норма времени на 1000м2 общей площади  чел./час (табл 65)</t>
  </si>
  <si>
    <t>Чистильщик</t>
  </si>
  <si>
    <t>Строительный воилок</t>
  </si>
  <si>
    <t>проволока</t>
  </si>
  <si>
    <t>Проверка состояния и ремонт продухов в цоколях зданий</t>
  </si>
  <si>
    <t>Затраты на утепление и прочистка дымовентиляционных каналов</t>
  </si>
  <si>
    <t>Норма времени на 1000м2 общей площади  чел./час (табл 67)</t>
  </si>
  <si>
    <t>Штукатур-маляр 3р.</t>
  </si>
  <si>
    <t xml:space="preserve">Часовая ставка </t>
  </si>
  <si>
    <t>2-5 этажей</t>
  </si>
  <si>
    <t xml:space="preserve">        6-9 этажей</t>
  </si>
  <si>
    <t>Цементный раствор</t>
  </si>
  <si>
    <t>краска</t>
  </si>
  <si>
    <t>на 1000.м2</t>
  </si>
  <si>
    <t>Расход</t>
  </si>
  <si>
    <t>Вид работ</t>
  </si>
  <si>
    <t>Перио-</t>
  </si>
  <si>
    <t>дичность</t>
  </si>
  <si>
    <t>выполнения</t>
  </si>
  <si>
    <t>I. Содержание помещений общего пользования</t>
  </si>
  <si>
    <t>Подметание полов во всех</t>
  </si>
  <si>
    <t>помещениях общего пользования</t>
  </si>
  <si>
    <t>Подметание полов кабины лифта</t>
  </si>
  <si>
    <t>3 раз в нед.</t>
  </si>
  <si>
    <t>и влажная уборка</t>
  </si>
  <si>
    <t xml:space="preserve">  </t>
  </si>
  <si>
    <t>Очистка и влажная уборка</t>
  </si>
  <si>
    <t>5 раз в нед.</t>
  </si>
  <si>
    <t>мусорных камер</t>
  </si>
  <si>
    <t>Мытье и протирка закрывающих</t>
  </si>
  <si>
    <t>1 раза в месяц</t>
  </si>
  <si>
    <t>устройств мусоропровода</t>
  </si>
  <si>
    <t>Подметание земельного участка</t>
  </si>
  <si>
    <t>1 раз в двое суток</t>
  </si>
  <si>
    <t>в летний период</t>
  </si>
  <si>
    <t>Уборка мусора с газона,</t>
  </si>
  <si>
    <t>4 раза в неделю</t>
  </si>
  <si>
    <t>очистка урн</t>
  </si>
  <si>
    <t>1 раз в сутки</t>
  </si>
  <si>
    <t>Сдвижка и подметание</t>
  </si>
  <si>
    <t>1 раз в</t>
  </si>
  <si>
    <t>трое суток</t>
  </si>
  <si>
    <t>снега при снегопаде</t>
  </si>
  <si>
    <t>III. Подготовка многоквартирного дома к сезонной эксплуатации</t>
  </si>
  <si>
    <t>1 раз в год</t>
  </si>
  <si>
    <t>по мере</t>
  </si>
  <si>
    <t xml:space="preserve">необходимости </t>
  </si>
  <si>
    <t>IV. Проведение технических осмотров и мелкого ремонта</t>
  </si>
  <si>
    <t>Проведение технических осмотров и</t>
  </si>
  <si>
    <t>устранение незначительных неисправностей</t>
  </si>
  <si>
    <t xml:space="preserve">в системах вентиляции, </t>
  </si>
  <si>
    <t xml:space="preserve"> 1 раз в год</t>
  </si>
  <si>
    <t>дымоудаления,</t>
  </si>
  <si>
    <t>2 раза в год</t>
  </si>
  <si>
    <t>электротехнических устройств</t>
  </si>
  <si>
    <t>постоянно на</t>
  </si>
  <si>
    <t>системах</t>
  </si>
  <si>
    <t>Дератизация</t>
  </si>
  <si>
    <t>12 раз в год</t>
  </si>
  <si>
    <t>Дезинсекция</t>
  </si>
  <si>
    <t>6 раз в год</t>
  </si>
  <si>
    <t xml:space="preserve">                     VI. Противопожарная безопасность</t>
  </si>
  <si>
    <t xml:space="preserve">                      VIII. Услуги по управлению</t>
  </si>
  <si>
    <t>Стоимость на 1 кв.м. общ. площади (руб. в месяц)</t>
  </si>
  <si>
    <t>%</t>
  </si>
  <si>
    <t>II. Уборка земельного участка, входящего в состав общего имущества многоквартирного дома</t>
  </si>
  <si>
    <t>Сдвижка и подметание снега</t>
  </si>
  <si>
    <t xml:space="preserve"> при отсутствии снегопада</t>
  </si>
  <si>
    <t>Ремонт, регулировка, промывка, испытание,</t>
  </si>
  <si>
    <t xml:space="preserve"> расконсервация систем центрального отопления</t>
  </si>
  <si>
    <t>а</t>
  </si>
  <si>
    <t>в том числе опресовка систем отопления</t>
  </si>
  <si>
    <t xml:space="preserve">                   промывка ситем отопления с барба-</t>
  </si>
  <si>
    <t>тированием (без применения СМС)</t>
  </si>
  <si>
    <t>б</t>
  </si>
  <si>
    <t xml:space="preserve">Замена разбитых стекол окон и дверей </t>
  </si>
  <si>
    <t xml:space="preserve"> в помещениях общего пользования</t>
  </si>
  <si>
    <t xml:space="preserve">Проверка состояния и ремонт продухов </t>
  </si>
  <si>
    <t>в цоколях зданий</t>
  </si>
  <si>
    <t>Затраты на проверку состояния и ремонт продухов в цоколях зданий</t>
  </si>
  <si>
    <t>ежемесячно</t>
  </si>
  <si>
    <t xml:space="preserve">Раствор кладочный </t>
  </si>
  <si>
    <t>Гипсовые вяжущие Г-3</t>
  </si>
  <si>
    <t>Лента изоляционная</t>
  </si>
  <si>
    <t>Лента киперная</t>
  </si>
  <si>
    <t>руб/м2</t>
  </si>
  <si>
    <t>Лампочки электрические</t>
  </si>
  <si>
    <t>Кол-во подъездов</t>
  </si>
  <si>
    <t>мр.Центральный 20</t>
  </si>
  <si>
    <t>Юбилейный 19</t>
  </si>
  <si>
    <t>Норма времени на уборку 1м2 лестничных площадок и маршей (необходимая) чел./час (табл1)          К=</t>
  </si>
  <si>
    <t>Маркса 59</t>
  </si>
  <si>
    <t xml:space="preserve"> Вывоз бытовых отходов</t>
  </si>
  <si>
    <t xml:space="preserve"> Вывоз крупно габаритных грузов</t>
  </si>
  <si>
    <t>3 раза в неделю</t>
  </si>
  <si>
    <t>Поправочный коэффициент К=</t>
  </si>
  <si>
    <t>XI. Тех.обслуживание лифтов  (2.3-16 час в сутки, 2.4, 2.5- круглосуточно)</t>
  </si>
  <si>
    <t>ВСЕГО</t>
  </si>
  <si>
    <t xml:space="preserve">                    Рост (%)</t>
  </si>
  <si>
    <t xml:space="preserve">                   X. Текущий и заявочный ремонт</t>
  </si>
  <si>
    <t>XIII. Рентабельность (1%)</t>
  </si>
  <si>
    <t>Клей ALT</t>
  </si>
  <si>
    <t>Гельцин</t>
  </si>
  <si>
    <t>Масло растительное</t>
  </si>
  <si>
    <t>Крупа</t>
  </si>
  <si>
    <t>Зоокумарин</t>
  </si>
  <si>
    <t>Инсектициды</t>
  </si>
  <si>
    <t xml:space="preserve">  VII. Обслуживание внутридомового газопровода</t>
  </si>
  <si>
    <t xml:space="preserve">             V. Освещение мест общего пользования</t>
  </si>
  <si>
    <t>РАССЧЕТ</t>
  </si>
  <si>
    <t>2013г.</t>
  </si>
  <si>
    <t>Изменение</t>
  </si>
  <si>
    <t>Тариф</t>
  </si>
  <si>
    <t>руб/м3</t>
  </si>
  <si>
    <t>Учтено в тарифе на содержание жилья</t>
  </si>
  <si>
    <t xml:space="preserve"> Вывоз жидких бытовых отходов</t>
  </si>
  <si>
    <t>Поправочный коэффициент на климатические условия (прил.3)</t>
  </si>
  <si>
    <t xml:space="preserve">Поправочный коэффиент = </t>
  </si>
  <si>
    <t>(при снегопаде)</t>
  </si>
  <si>
    <t>XII. Обслуживание приборов учета, снятие показаний</t>
  </si>
  <si>
    <t xml:space="preserve">                        общедомовых</t>
  </si>
  <si>
    <t>Ведро металическое</t>
  </si>
  <si>
    <t>полотно нетканное</t>
  </si>
  <si>
    <t>мыло хозяйственное</t>
  </si>
  <si>
    <t>пач</t>
  </si>
  <si>
    <t>белизна</t>
  </si>
  <si>
    <t>Метла пропиленовая</t>
  </si>
  <si>
    <t>вилы</t>
  </si>
  <si>
    <t xml:space="preserve">движок   для снега                       </t>
  </si>
  <si>
    <t>лопата снегоуборочная</t>
  </si>
  <si>
    <t>ледоруб</t>
  </si>
  <si>
    <t>скребок для чистки снега</t>
  </si>
  <si>
    <t>известь комковая</t>
  </si>
  <si>
    <t>верхонки утепленные</t>
  </si>
  <si>
    <t>пара</t>
  </si>
  <si>
    <t>перчатки х/б с латексом</t>
  </si>
  <si>
    <t>перчатки резиновые</t>
  </si>
  <si>
    <t>распиратор</t>
  </si>
  <si>
    <t>фартук резиновый</t>
  </si>
  <si>
    <t>защитные очки</t>
  </si>
  <si>
    <t>Годовой фонд рабочего времени при 40-часовой рабочей неделе (согласно производственного календаря)</t>
  </si>
  <si>
    <t>час</t>
  </si>
  <si>
    <t>среднемесячный фонд времени</t>
  </si>
  <si>
    <t>Количество рабочих дней за год</t>
  </si>
  <si>
    <t>дн.</t>
  </si>
  <si>
    <t xml:space="preserve">Состав работы: наружный осмотр, установка заглушки и манометра, присоединение водопровода и компрессора, наполнение системы отопления водой, барбатирование сжатым воздухом, спуск воды из трубопровода, повторное заполнение системы отопления водой и барбатирование , спуск воды до осветления после промывки чистой воды, снятие заглушки, отсоединение компрессора. </t>
  </si>
  <si>
    <t>К=</t>
  </si>
  <si>
    <t>постоянно</t>
  </si>
  <si>
    <t xml:space="preserve"> 1.1</t>
  </si>
  <si>
    <t xml:space="preserve">в т.ч. начисление и прием платежей за ЖКУ, регистрационный учет граждан </t>
  </si>
  <si>
    <t>5 раз в неделю</t>
  </si>
  <si>
    <t>из них начисление платежей</t>
  </si>
  <si>
    <t xml:space="preserve">           прием платежей</t>
  </si>
  <si>
    <t xml:space="preserve">           регистрационный учет граждан</t>
  </si>
  <si>
    <t xml:space="preserve">       прочее</t>
  </si>
  <si>
    <t>норматив</t>
  </si>
  <si>
    <t>м3/чел</t>
  </si>
  <si>
    <t>0,15 м3/чел</t>
  </si>
  <si>
    <r>
      <t xml:space="preserve">км; средний пробег при сборе ТБО - </t>
    </r>
    <r>
      <rPr>
        <b/>
        <sz val="10"/>
        <rFont val="Arial Cyr"/>
        <charset val="204"/>
      </rPr>
      <t>25,8</t>
    </r>
  </si>
  <si>
    <t>км. за 1 рейс;</t>
  </si>
  <si>
    <t>м3;</t>
  </si>
  <si>
    <t>Поправочный коэффициент на климат.условия (прил.3)=</t>
  </si>
  <si>
    <t>Периодичность 4 т. мусора в день 4 тн х 1,8 = 7,2 м3 мусора  х 2 раза в неделю х 4 (месяц) х 12 (год) = 691,2 м3</t>
  </si>
  <si>
    <t xml:space="preserve">                       индивидуальных</t>
  </si>
  <si>
    <t>расчете в 2014г.</t>
  </si>
  <si>
    <t>по данным за 2012г.</t>
  </si>
  <si>
    <t>Плановый % роста инфляции согласно Федерального закона от 3 декабря 2012 г. N 216-ФЗ "О федеральном бюджете на 2013 год и на плановый период 2014 и 2015 годов" на 2013г. равен 5,5%</t>
  </si>
  <si>
    <t>Выключатель</t>
  </si>
  <si>
    <t>Розетка</t>
  </si>
  <si>
    <t>Кислород</t>
  </si>
  <si>
    <t>бал</t>
  </si>
  <si>
    <t>Щебень</t>
  </si>
  <si>
    <t>тн</t>
  </si>
  <si>
    <t>Отсев</t>
  </si>
  <si>
    <t>Автоматы (эл)</t>
  </si>
  <si>
    <t>Кабель (провод)</t>
  </si>
  <si>
    <t>м.п</t>
  </si>
  <si>
    <t>Трансформатор тока</t>
  </si>
  <si>
    <t>Стеклоткань</t>
  </si>
  <si>
    <t>Сброс снега с крыши</t>
  </si>
  <si>
    <t>Площадь</t>
  </si>
  <si>
    <t>Сбос снега и сосулек с крыши и козырьков</t>
  </si>
  <si>
    <t xml:space="preserve">по мере необходимости </t>
  </si>
  <si>
    <t>Косьба травы на газоне</t>
  </si>
  <si>
    <t>Норма времени на 100м2 газона (§Е18-17) 2 раза в год</t>
  </si>
  <si>
    <t>ч/час</t>
  </si>
  <si>
    <t>Сгребание скошенной травы после газонокосилки</t>
  </si>
  <si>
    <r>
      <t xml:space="preserve">Косьба травы на газоне </t>
    </r>
    <r>
      <rPr>
        <sz val="10"/>
        <rFont val="Arial Cyr"/>
        <charset val="204"/>
      </rPr>
      <t>вручную (газонокосилкой, тримером)</t>
    </r>
  </si>
  <si>
    <t>Стоимость тримера  типа Craftsman 79105</t>
  </si>
  <si>
    <t>Срок использования</t>
  </si>
  <si>
    <t>лет</t>
  </si>
  <si>
    <t>Период использования</t>
  </si>
  <si>
    <t>2 мес 20р/д 8 час К=0,65 =</t>
  </si>
  <si>
    <t>час/год</t>
  </si>
  <si>
    <t>Стоимость в расчете на 1 час работы</t>
  </si>
  <si>
    <t>руб/час</t>
  </si>
  <si>
    <t>расход топлива А92</t>
  </si>
  <si>
    <t>Стоимость бензина А92</t>
  </si>
  <si>
    <t>руб/л</t>
  </si>
  <si>
    <t>Затраты на косьбу травы</t>
  </si>
  <si>
    <t xml:space="preserve"> площадь</t>
  </si>
  <si>
    <t xml:space="preserve"> газонов</t>
  </si>
  <si>
    <t>Матери-</t>
  </si>
  <si>
    <t>альные</t>
  </si>
  <si>
    <t>затраты</t>
  </si>
  <si>
    <t xml:space="preserve">Расход </t>
  </si>
  <si>
    <t>топлива</t>
  </si>
  <si>
    <t>г/час/1квчас</t>
  </si>
  <si>
    <t>Мощность</t>
  </si>
  <si>
    <t>0,75кв/час</t>
  </si>
  <si>
    <t>Сплошное скашивание с К=70%</t>
  </si>
  <si>
    <t>"Справочно" Действующие с 1.01.13г.</t>
  </si>
  <si>
    <t>1 раз в 6 мес</t>
  </si>
  <si>
    <t>по мере необходимости</t>
  </si>
  <si>
    <t xml:space="preserve">                   I X. Вывоз бытовых отходов</t>
  </si>
  <si>
    <t>2014г.</t>
  </si>
  <si>
    <t>размера платы за вывоз ТБО для включения в тариф на содержание жилья на 2014г.</t>
  </si>
  <si>
    <t>2014г</t>
  </si>
  <si>
    <t xml:space="preserve">Рост объема </t>
  </si>
  <si>
    <t>2014г. (план)</t>
  </si>
  <si>
    <t>Калькуляция на вывоз ТБО</t>
  </si>
  <si>
    <t>чел</t>
  </si>
  <si>
    <t>пачк</t>
  </si>
  <si>
    <t>к=</t>
  </si>
  <si>
    <t>ПЕРЕЧЕНЬ</t>
  </si>
  <si>
    <t>обязательных работ и услуг по содержанию и ремонту общего имущества собственников помещений в многоквартирном доме на 2015г.</t>
  </si>
  <si>
    <t>Учтено</t>
  </si>
  <si>
    <t>Куплено предприятием</t>
  </si>
  <si>
    <t>в тарифе</t>
  </si>
  <si>
    <t>Элит</t>
  </si>
  <si>
    <t>ЖЭУ№1</t>
  </si>
  <si>
    <t>уэ</t>
  </si>
  <si>
    <t>*</t>
  </si>
  <si>
    <t>370кг</t>
  </si>
  <si>
    <t>Эмаль</t>
  </si>
  <si>
    <t>Унифлекс ХКП сланец серый</t>
  </si>
  <si>
    <t xml:space="preserve">рулон </t>
  </si>
  <si>
    <t>Бикрост ХКП гранулят серый</t>
  </si>
  <si>
    <t>ЖЭУЦент</t>
  </si>
  <si>
    <t>Приложение 2</t>
  </si>
  <si>
    <t>2013 год</t>
  </si>
  <si>
    <t>жил.фонд всего</t>
  </si>
  <si>
    <t>дом</t>
  </si>
  <si>
    <t>т.м2</t>
  </si>
  <si>
    <t xml:space="preserve"> 1.2</t>
  </si>
  <si>
    <t>в т.ч. как УК</t>
  </si>
  <si>
    <t>численность всего</t>
  </si>
  <si>
    <t>в т.ч. Рабочих</t>
  </si>
  <si>
    <t>размер премии</t>
  </si>
  <si>
    <t>Отчисления от з/платы</t>
  </si>
  <si>
    <t>Затраты на содержание и ремонт всего</t>
  </si>
  <si>
    <t>т.руб</t>
  </si>
  <si>
    <t xml:space="preserve">  7.1</t>
  </si>
  <si>
    <t>в т.ч. на зар плату рабочих (без отчислений)</t>
  </si>
  <si>
    <t>1 п/г 2014 год</t>
  </si>
  <si>
    <t>т.м3</t>
  </si>
  <si>
    <t xml:space="preserve"> 7.1</t>
  </si>
  <si>
    <t>ЖЭУ-2</t>
  </si>
  <si>
    <t>Ложок</t>
  </si>
  <si>
    <t xml:space="preserve">Данные </t>
  </si>
  <si>
    <t>Риал+</t>
  </si>
  <si>
    <t>Риал</t>
  </si>
  <si>
    <t>СТОИМОСТЬ МАТЕРИАЛОВ (информация о фактических ценах, затраченных УК в 2014г. ООО ____________</t>
  </si>
  <si>
    <t xml:space="preserve">Учитывая, что на 2014 год организационно-технических изменений в структуре управления управляющих компаний не предвидится, </t>
  </si>
  <si>
    <t>основания для увеличения размера общехозяйственных расходов нет. Для расчета размера платы принимаются данные, учтенные при расчете</t>
  </si>
  <si>
    <t>тарифа в 2012 году в размере 89,2%.</t>
  </si>
  <si>
    <t>Стоимость талона (за 2,92 м3)</t>
  </si>
  <si>
    <t>237 х 200 руб =</t>
  </si>
  <si>
    <t>Количество талонов в год= 691,2 м3/2,92 =</t>
  </si>
  <si>
    <t>талонов</t>
  </si>
  <si>
    <t>(Типовые нормы времени на работы по текущему ремонту жилья  п.3.1.21 Очистка кровли от снега).</t>
  </si>
  <si>
    <t>Содержание работы: очистка кровли от снега со сбрасыванием его вниз, сгребание в кучи.</t>
  </si>
  <si>
    <t>Состав исполнителей: ремонтировщик высотных частей зданий- 1 чел.</t>
  </si>
  <si>
    <t>Толщина слоя снега</t>
  </si>
  <si>
    <t>Норма времени на 1 м2 кровли</t>
  </si>
  <si>
    <t>до 10</t>
  </si>
  <si>
    <t>до 20</t>
  </si>
  <si>
    <t>на каждые следующие 10 см слоя</t>
  </si>
  <si>
    <t>Поправочные коэффициенты</t>
  </si>
  <si>
    <t>Затраты на сброс снега с крыши</t>
  </si>
  <si>
    <t>крыни</t>
  </si>
  <si>
    <t>мени на</t>
  </si>
  <si>
    <t>расчете в 2015г.</t>
  </si>
  <si>
    <t xml:space="preserve">затраты  </t>
  </si>
  <si>
    <t>Длина здания</t>
  </si>
  <si>
    <t>Ширина</t>
  </si>
  <si>
    <t>площадь крыши</t>
  </si>
  <si>
    <r>
      <t>50см (0,038 + 43х 0,08 ) хК</t>
    </r>
    <r>
      <rPr>
        <sz val="8"/>
        <rFont val="Arial Cyr"/>
        <charset val="204"/>
      </rPr>
      <t>1</t>
    </r>
    <r>
      <rPr>
        <sz val="10"/>
        <rFont val="Arial Cyr"/>
        <charset val="204"/>
      </rPr>
      <t xml:space="preserve"> х К</t>
    </r>
    <r>
      <rPr>
        <sz val="8"/>
        <rFont val="Arial Cyr"/>
        <charset val="204"/>
      </rPr>
      <t>2</t>
    </r>
    <r>
      <rPr>
        <sz val="10"/>
        <rFont val="Arial Cyr"/>
        <charset val="204"/>
      </rPr>
      <t xml:space="preserve">                  </t>
    </r>
  </si>
  <si>
    <t>тарифа на вывоз ТБО на 2015. В расчете на 1 м2 общей площади.</t>
  </si>
  <si>
    <t>2015г</t>
  </si>
  <si>
    <t>ул.Прорабская 10а</t>
  </si>
  <si>
    <t>ул.Лесосплава 13</t>
  </si>
  <si>
    <t>Исходные данные на 2015 год</t>
  </si>
  <si>
    <t xml:space="preserve"> =1,41 х 1,06=</t>
  </si>
  <si>
    <t>ЖКО</t>
  </si>
  <si>
    <t>ЖКХ Иск</t>
  </si>
  <si>
    <t>Соц.найм</t>
  </si>
  <si>
    <t>в благоустроенных жилых домах</t>
  </si>
  <si>
    <t>в неблагоустроенных жилых домах</t>
  </si>
  <si>
    <t>коммерческого использования  жилого помещения</t>
  </si>
  <si>
    <t>в домах с повышенным уровнем благоустройства (наличие лифта)</t>
  </si>
  <si>
    <t>расчет</t>
  </si>
  <si>
    <t>сумма</t>
  </si>
  <si>
    <t>проект</t>
  </si>
  <si>
    <t>Расчет роста платы за найм на 2015 год</t>
  </si>
  <si>
    <t>ед.</t>
  </si>
  <si>
    <t>действ</t>
  </si>
  <si>
    <t>Кап.ремонт (пост. Правит.РФ 179-п от 28.04.14)</t>
  </si>
  <si>
    <t>Исходные данные по ООО за 2013- 1 п/г 2014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</si>
</sst>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2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u/>
      <sz val="10"/>
      <name val="Arial Cyr"/>
      <charset val="204"/>
    </font>
    <font>
      <u/>
      <sz val="10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b/>
      <sz val="9"/>
      <color indexed="18"/>
      <name val="Arial"/>
      <family val="2"/>
      <charset val="204"/>
    </font>
    <font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1"/>
      <color indexed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1"/>
      <color indexed="10"/>
      <name val="Arial Cyr"/>
      <charset val="204"/>
    </font>
    <font>
      <b/>
      <sz val="12"/>
      <color indexed="10"/>
      <name val="Arial Cyr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Fill="1" applyBorder="1" applyAlignment="1">
      <alignment horizontal="center"/>
    </xf>
    <xf numFmtId="2" fontId="0" fillId="0" borderId="0" xfId="0" applyNumberForma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0" fillId="0" borderId="0" xfId="0" applyBorder="1"/>
    <xf numFmtId="0" fontId="3" fillId="0" borderId="4" xfId="0" applyFont="1" applyBorder="1"/>
    <xf numFmtId="0" fontId="0" fillId="0" borderId="10" xfId="0" applyBorder="1"/>
    <xf numFmtId="0" fontId="0" fillId="0" borderId="5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9" fontId="0" fillId="0" borderId="0" xfId="0" applyNumberFormat="1" applyBorder="1"/>
    <xf numFmtId="10" fontId="0" fillId="0" borderId="0" xfId="0" applyNumberFormat="1" applyBorder="1"/>
    <xf numFmtId="10" fontId="0" fillId="0" borderId="0" xfId="0" applyNumberFormat="1"/>
    <xf numFmtId="165" fontId="0" fillId="0" borderId="0" xfId="0" applyNumberFormat="1" applyBorder="1"/>
    <xf numFmtId="16" fontId="0" fillId="0" borderId="0" xfId="0" applyNumberFormat="1"/>
    <xf numFmtId="1" fontId="0" fillId="0" borderId="0" xfId="0" applyNumberFormat="1"/>
    <xf numFmtId="0" fontId="0" fillId="0" borderId="15" xfId="0" applyBorder="1"/>
    <xf numFmtId="2" fontId="0" fillId="0" borderId="16" xfId="0" applyNumberFormat="1" applyBorder="1"/>
    <xf numFmtId="0" fontId="0" fillId="0" borderId="16" xfId="0" applyBorder="1"/>
    <xf numFmtId="0" fontId="0" fillId="0" borderId="0" xfId="0" applyFill="1" applyBorder="1"/>
    <xf numFmtId="2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0" fillId="0" borderId="16" xfId="0" applyBorder="1" applyAlignment="1">
      <alignment horizontal="center"/>
    </xf>
    <xf numFmtId="2" fontId="0" fillId="0" borderId="19" xfId="0" applyNumberFormat="1" applyBorder="1"/>
    <xf numFmtId="164" fontId="0" fillId="0" borderId="16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164" fontId="3" fillId="0" borderId="23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0" fillId="0" borderId="18" xfId="0" applyNumberFormat="1" applyBorder="1"/>
    <xf numFmtId="0" fontId="4" fillId="0" borderId="3" xfId="0" applyFont="1" applyFill="1" applyBorder="1" applyAlignment="1">
      <alignment horizontal="center"/>
    </xf>
    <xf numFmtId="0" fontId="0" fillId="0" borderId="20" xfId="0" applyBorder="1"/>
    <xf numFmtId="0" fontId="4" fillId="0" borderId="6" xfId="0" applyFont="1" applyBorder="1"/>
    <xf numFmtId="0" fontId="4" fillId="0" borderId="4" xfId="0" applyFont="1" applyBorder="1"/>
    <xf numFmtId="0" fontId="4" fillId="0" borderId="3" xfId="0" applyFont="1" applyBorder="1"/>
    <xf numFmtId="0" fontId="0" fillId="0" borderId="15" xfId="0" applyBorder="1" applyAlignment="1">
      <alignment horizontal="center"/>
    </xf>
    <xf numFmtId="2" fontId="0" fillId="0" borderId="15" xfId="0" applyNumberFormat="1" applyBorder="1"/>
    <xf numFmtId="0" fontId="0" fillId="0" borderId="24" xfId="0" applyFill="1" applyBorder="1"/>
    <xf numFmtId="0" fontId="0" fillId="0" borderId="18" xfId="0" applyBorder="1" applyAlignment="1">
      <alignment horizontal="center"/>
    </xf>
    <xf numFmtId="165" fontId="0" fillId="0" borderId="4" xfId="0" applyNumberFormat="1" applyBorder="1"/>
    <xf numFmtId="164" fontId="0" fillId="0" borderId="0" xfId="0" applyNumberFormat="1"/>
    <xf numFmtId="0" fontId="7" fillId="0" borderId="0" xfId="0" applyFont="1"/>
    <xf numFmtId="0" fontId="6" fillId="0" borderId="0" xfId="0" applyFont="1"/>
    <xf numFmtId="0" fontId="0" fillId="0" borderId="19" xfId="0" applyBorder="1"/>
    <xf numFmtId="0" fontId="0" fillId="0" borderId="0" xfId="0" applyFill="1" applyBorder="1" applyAlignment="1">
      <alignment horizontal="center" wrapText="1"/>
    </xf>
    <xf numFmtId="0" fontId="0" fillId="0" borderId="23" xfId="0" applyFill="1" applyBorder="1"/>
    <xf numFmtId="0" fontId="0" fillId="0" borderId="25" xfId="0" applyBorder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26" xfId="0" applyFont="1" applyBorder="1"/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6" xfId="0" applyFill="1" applyBorder="1" applyAlignment="1">
      <alignment horizontal="center"/>
    </xf>
    <xf numFmtId="164" fontId="0" fillId="0" borderId="0" xfId="0" applyNumberFormat="1" applyBorder="1"/>
    <xf numFmtId="0" fontId="0" fillId="0" borderId="27" xfId="0" applyBorder="1"/>
    <xf numFmtId="0" fontId="8" fillId="0" borderId="0" xfId="0" applyFont="1"/>
    <xf numFmtId="0" fontId="1" fillId="0" borderId="0" xfId="0" applyFont="1" applyBorder="1" applyAlignment="1">
      <alignment horizontal="left"/>
    </xf>
    <xf numFmtId="0" fontId="0" fillId="0" borderId="26" xfId="0" applyBorder="1"/>
    <xf numFmtId="0" fontId="0" fillId="0" borderId="17" xfId="0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8" xfId="0" applyFill="1" applyBorder="1"/>
    <xf numFmtId="0" fontId="0" fillId="0" borderId="28" xfId="0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0" fillId="0" borderId="27" xfId="0" applyFill="1" applyBorder="1"/>
    <xf numFmtId="0" fontId="1" fillId="0" borderId="13" xfId="0" applyFont="1" applyBorder="1"/>
    <xf numFmtId="0" fontId="1" fillId="0" borderId="14" xfId="0" applyFont="1" applyBorder="1"/>
    <xf numFmtId="164" fontId="3" fillId="0" borderId="0" xfId="0" applyNumberFormat="1" applyFont="1" applyBorder="1"/>
    <xf numFmtId="0" fontId="0" fillId="0" borderId="19" xfId="0" applyBorder="1" applyAlignment="1">
      <alignment horizontal="left"/>
    </xf>
    <xf numFmtId="2" fontId="0" fillId="0" borderId="6" xfId="0" applyNumberFormat="1" applyBorder="1"/>
    <xf numFmtId="2" fontId="4" fillId="0" borderId="3" xfId="0" applyNumberFormat="1" applyFont="1" applyFill="1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/>
    <xf numFmtId="0" fontId="1" fillId="0" borderId="1" xfId="0" applyFont="1" applyBorder="1" applyAlignment="1"/>
    <xf numFmtId="0" fontId="1" fillId="0" borderId="26" xfId="0" applyFont="1" applyBorder="1" applyAlignment="1"/>
    <xf numFmtId="0" fontId="1" fillId="0" borderId="5" xfId="0" applyFont="1" applyBorder="1" applyAlignment="1"/>
    <xf numFmtId="0" fontId="1" fillId="0" borderId="10" xfId="0" applyFont="1" applyBorder="1" applyAlignment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Border="1"/>
    <xf numFmtId="0" fontId="0" fillId="0" borderId="23" xfId="0" applyBorder="1"/>
    <xf numFmtId="0" fontId="0" fillId="0" borderId="20" xfId="0" applyFill="1" applyBorder="1" applyAlignment="1">
      <alignment horizontal="center"/>
    </xf>
    <xf numFmtId="2" fontId="0" fillId="0" borderId="17" xfId="0" applyNumberFormat="1" applyBorder="1"/>
    <xf numFmtId="2" fontId="0" fillId="0" borderId="2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6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Border="1" applyAlignment="1"/>
    <xf numFmtId="0" fontId="0" fillId="0" borderId="3" xfId="0" applyBorder="1" applyAlignment="1"/>
    <xf numFmtId="2" fontId="0" fillId="0" borderId="20" xfId="0" applyNumberFormat="1" applyFill="1" applyBorder="1" applyAlignment="1">
      <alignment horizontal="center"/>
    </xf>
    <xf numFmtId="166" fontId="0" fillId="0" borderId="0" xfId="0" applyNumberFormat="1"/>
    <xf numFmtId="0" fontId="0" fillId="0" borderId="3" xfId="0" applyFill="1" applyBorder="1"/>
    <xf numFmtId="0" fontId="0" fillId="0" borderId="6" xfId="0" applyFill="1" applyBorder="1"/>
    <xf numFmtId="0" fontId="0" fillId="0" borderId="29" xfId="0" applyBorder="1"/>
    <xf numFmtId="0" fontId="0" fillId="0" borderId="19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2" fontId="0" fillId="0" borderId="28" xfId="0" applyNumberFormat="1" applyBorder="1"/>
    <xf numFmtId="0" fontId="0" fillId="0" borderId="19" xfId="0" applyBorder="1" applyAlignment="1"/>
    <xf numFmtId="0" fontId="0" fillId="0" borderId="28" xfId="0" applyBorder="1" applyAlignment="1"/>
    <xf numFmtId="0" fontId="0" fillId="0" borderId="28" xfId="0" applyBorder="1"/>
    <xf numFmtId="0" fontId="0" fillId="0" borderId="28" xfId="0" applyBorder="1" applyAlignment="1">
      <alignment horizontal="left"/>
    </xf>
    <xf numFmtId="0" fontId="0" fillId="0" borderId="16" xfId="0" applyFill="1" applyBorder="1"/>
    <xf numFmtId="0" fontId="0" fillId="0" borderId="21" xfId="0" applyFill="1" applyBorder="1"/>
    <xf numFmtId="0" fontId="0" fillId="0" borderId="17" xfId="0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0" fillId="0" borderId="30" xfId="0" applyNumberFormat="1" applyBorder="1"/>
    <xf numFmtId="2" fontId="1" fillId="0" borderId="16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9" fontId="0" fillId="0" borderId="3" xfId="0" applyNumberFormat="1" applyFill="1" applyBorder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28" xfId="0" applyFont="1" applyBorder="1"/>
    <xf numFmtId="0" fontId="1" fillId="0" borderId="31" xfId="0" applyFont="1" applyBorder="1"/>
    <xf numFmtId="0" fontId="11" fillId="0" borderId="23" xfId="0" applyFont="1" applyBorder="1"/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11" fillId="0" borderId="20" xfId="0" applyFont="1" applyBorder="1"/>
    <xf numFmtId="0" fontId="11" fillId="0" borderId="24" xfId="0" applyFont="1" applyBorder="1"/>
    <xf numFmtId="0" fontId="11" fillId="0" borderId="21" xfId="0" applyFont="1" applyBorder="1" applyAlignment="1">
      <alignment horizontal="center"/>
    </xf>
    <xf numFmtId="0" fontId="11" fillId="0" borderId="21" xfId="0" applyFont="1" applyBorder="1"/>
    <xf numFmtId="0" fontId="11" fillId="0" borderId="23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0" fontId="11" fillId="0" borderId="23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165" fontId="0" fillId="0" borderId="0" xfId="0" applyNumberFormat="1"/>
    <xf numFmtId="0" fontId="9" fillId="0" borderId="0" xfId="0" applyFont="1" applyAlignment="1"/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9" xfId="0" applyFont="1" applyBorder="1"/>
    <xf numFmtId="0" fontId="11" fillId="0" borderId="7" xfId="0" applyFont="1" applyBorder="1"/>
    <xf numFmtId="0" fontId="8" fillId="0" borderId="3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/>
    <xf numFmtId="0" fontId="4" fillId="0" borderId="2" xfId="0" applyFont="1" applyBorder="1" applyAlignment="1"/>
    <xf numFmtId="0" fontId="0" fillId="0" borderId="33" xfId="0" applyBorder="1"/>
    <xf numFmtId="0" fontId="4" fillId="0" borderId="9" xfId="0" applyFont="1" applyBorder="1" applyAlignment="1"/>
    <xf numFmtId="0" fontId="10" fillId="0" borderId="7" xfId="0" applyFont="1" applyBorder="1" applyAlignment="1"/>
    <xf numFmtId="0" fontId="10" fillId="0" borderId="9" xfId="0" applyFont="1" applyBorder="1" applyAlignment="1">
      <alignment horizontal="left"/>
    </xf>
    <xf numFmtId="0" fontId="8" fillId="0" borderId="0" xfId="0" applyFont="1" applyBorder="1"/>
    <xf numFmtId="0" fontId="4" fillId="0" borderId="0" xfId="0" applyFont="1"/>
    <xf numFmtId="0" fontId="12" fillId="0" borderId="0" xfId="0" applyFont="1"/>
    <xf numFmtId="0" fontId="10" fillId="0" borderId="20" xfId="0" applyFont="1" applyBorder="1" applyAlignment="1"/>
    <xf numFmtId="0" fontId="4" fillId="0" borderId="20" xfId="0" applyFont="1" applyBorder="1" applyAlignment="1"/>
    <xf numFmtId="0" fontId="1" fillId="0" borderId="16" xfId="0" applyFont="1" applyBorder="1"/>
    <xf numFmtId="0" fontId="11" fillId="0" borderId="16" xfId="0" applyFont="1" applyBorder="1" applyAlignment="1"/>
    <xf numFmtId="0" fontId="12" fillId="0" borderId="16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19" xfId="0" applyFill="1" applyBorder="1"/>
    <xf numFmtId="0" fontId="0" fillId="0" borderId="35" xfId="0" applyFill="1" applyBorder="1"/>
    <xf numFmtId="0" fontId="0" fillId="0" borderId="36" xfId="0" applyBorder="1"/>
    <xf numFmtId="2" fontId="0" fillId="0" borderId="22" xfId="0" applyNumberFormat="1" applyBorder="1"/>
    <xf numFmtId="2" fontId="0" fillId="0" borderId="27" xfId="0" applyNumberFormat="1" applyBorder="1"/>
    <xf numFmtId="0" fontId="0" fillId="0" borderId="37" xfId="0" applyBorder="1"/>
    <xf numFmtId="0" fontId="0" fillId="0" borderId="38" xfId="0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11" fillId="0" borderId="23" xfId="0" applyFont="1" applyBorder="1" applyAlignment="1"/>
    <xf numFmtId="0" fontId="11" fillId="0" borderId="33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0" xfId="0" applyAlignment="1"/>
    <xf numFmtId="2" fontId="0" fillId="0" borderId="0" xfId="0" applyNumberFormat="1" applyAlignment="1"/>
    <xf numFmtId="2" fontId="0" fillId="0" borderId="6" xfId="0" applyNumberFormat="1" applyBorder="1" applyAlignment="1"/>
    <xf numFmtId="2" fontId="0" fillId="0" borderId="3" xfId="0" applyNumberFormat="1" applyBorder="1" applyAlignment="1"/>
    <xf numFmtId="2" fontId="0" fillId="0" borderId="4" xfId="0" applyNumberFormat="1" applyBorder="1" applyAlignment="1"/>
    <xf numFmtId="0" fontId="0" fillId="0" borderId="16" xfId="0" applyBorder="1" applyAlignment="1"/>
    <xf numFmtId="2" fontId="0" fillId="0" borderId="28" xfId="0" applyNumberFormat="1" applyBorder="1" applyAlignment="1"/>
    <xf numFmtId="2" fontId="0" fillId="0" borderId="28" xfId="0" applyNumberFormat="1" applyFill="1" applyBorder="1" applyAlignment="1"/>
    <xf numFmtId="0" fontId="0" fillId="0" borderId="16" xfId="0" applyFill="1" applyBorder="1" applyAlignment="1"/>
    <xf numFmtId="0" fontId="13" fillId="0" borderId="16" xfId="0" applyFont="1" applyFill="1" applyBorder="1" applyAlignment="1"/>
    <xf numFmtId="0" fontId="0" fillId="0" borderId="20" xfId="0" applyBorder="1" applyAlignment="1"/>
    <xf numFmtId="0" fontId="0" fillId="0" borderId="36" xfId="0" applyBorder="1" applyAlignment="1">
      <alignment horizontal="left"/>
    </xf>
    <xf numFmtId="2" fontId="0" fillId="0" borderId="36" xfId="0" applyNumberFormat="1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8" xfId="0" applyBorder="1" applyAlignment="1">
      <alignment horizontal="left"/>
    </xf>
    <xf numFmtId="0" fontId="0" fillId="0" borderId="38" xfId="0" applyFill="1" applyBorder="1" applyAlignment="1">
      <alignment horizontal="left"/>
    </xf>
    <xf numFmtId="2" fontId="0" fillId="0" borderId="0" xfId="0" applyNumberFormat="1" applyBorder="1" applyAlignment="1"/>
    <xf numFmtId="0" fontId="0" fillId="0" borderId="39" xfId="0" applyFill="1" applyBorder="1" applyAlignment="1"/>
    <xf numFmtId="0" fontId="0" fillId="0" borderId="0" xfId="0" applyAlignment="1">
      <alignment horizontal="righ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Border="1" applyAlignment="1"/>
    <xf numFmtId="0" fontId="4" fillId="0" borderId="0" xfId="0" applyFont="1" applyBorder="1" applyAlignment="1"/>
    <xf numFmtId="0" fontId="11" fillId="0" borderId="40" xfId="0" applyFont="1" applyBorder="1" applyAlignment="1"/>
    <xf numFmtId="0" fontId="11" fillId="0" borderId="41" xfId="0" applyFont="1" applyBorder="1" applyAlignment="1">
      <alignment wrapText="1"/>
    </xf>
    <xf numFmtId="0" fontId="1" fillId="0" borderId="39" xfId="0" applyFont="1" applyBorder="1" applyAlignment="1">
      <alignment horizontal="center"/>
    </xf>
    <xf numFmtId="16" fontId="11" fillId="0" borderId="1" xfId="0" applyNumberFormat="1" applyFont="1" applyBorder="1" applyAlignment="1"/>
    <xf numFmtId="0" fontId="11" fillId="0" borderId="26" xfId="0" applyFont="1" applyBorder="1" applyAlignment="1">
      <alignment wrapText="1"/>
    </xf>
    <xf numFmtId="0" fontId="11" fillId="0" borderId="26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2" fontId="0" fillId="0" borderId="0" xfId="0" applyNumberFormat="1" applyFill="1" applyBorder="1"/>
    <xf numFmtId="0" fontId="1" fillId="0" borderId="16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/>
    </xf>
    <xf numFmtId="16" fontId="0" fillId="0" borderId="0" xfId="0" applyNumberFormat="1" applyBorder="1"/>
    <xf numFmtId="0" fontId="7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4" xfId="0" applyFill="1" applyBorder="1"/>
    <xf numFmtId="165" fontId="0" fillId="0" borderId="4" xfId="0" applyNumberFormat="1" applyFill="1" applyBorder="1"/>
    <xf numFmtId="2" fontId="0" fillId="0" borderId="0" xfId="0" applyNumberFormat="1" applyFill="1"/>
    <xf numFmtId="0" fontId="11" fillId="0" borderId="34" xfId="0" applyFont="1" applyBorder="1" applyAlignment="1">
      <alignment horizontal="left"/>
    </xf>
    <xf numFmtId="0" fontId="11" fillId="0" borderId="34" xfId="0" applyFont="1" applyBorder="1"/>
    <xf numFmtId="2" fontId="0" fillId="0" borderId="19" xfId="0" applyNumberFormat="1" applyFill="1" applyBorder="1"/>
    <xf numFmtId="164" fontId="0" fillId="0" borderId="0" xfId="0" applyNumberFormat="1" applyFill="1" applyBorder="1"/>
    <xf numFmtId="0" fontId="16" fillId="0" borderId="0" xfId="0" applyFont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9" fontId="0" fillId="0" borderId="0" xfId="0" applyNumberFormat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2" fontId="12" fillId="0" borderId="3" xfId="0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2" xfId="0" applyBorder="1" applyAlignment="1"/>
    <xf numFmtId="2" fontId="0" fillId="0" borderId="27" xfId="0" applyNumberFormat="1" applyBorder="1" applyAlignment="1"/>
    <xf numFmtId="0" fontId="0" fillId="0" borderId="20" xfId="0" applyFill="1" applyBorder="1"/>
    <xf numFmtId="0" fontId="0" fillId="0" borderId="0" xfId="0" applyFill="1" applyBorder="1" applyAlignment="1"/>
    <xf numFmtId="0" fontId="17" fillId="0" borderId="0" xfId="0" applyFont="1"/>
    <xf numFmtId="0" fontId="17" fillId="0" borderId="6" xfId="0" applyFont="1" applyBorder="1"/>
    <xf numFmtId="0" fontId="17" fillId="0" borderId="4" xfId="0" applyFont="1" applyBorder="1"/>
    <xf numFmtId="0" fontId="17" fillId="0" borderId="2" xfId="0" applyFont="1" applyBorder="1"/>
    <xf numFmtId="0" fontId="17" fillId="0" borderId="0" xfId="0" applyFont="1" applyBorder="1"/>
    <xf numFmtId="0" fontId="17" fillId="0" borderId="13" xfId="0" applyFont="1" applyBorder="1"/>
    <xf numFmtId="16" fontId="17" fillId="0" borderId="30" xfId="0" applyNumberFormat="1" applyFont="1" applyBorder="1"/>
    <xf numFmtId="0" fontId="17" fillId="0" borderId="30" xfId="0" applyFont="1" applyBorder="1"/>
    <xf numFmtId="0" fontId="17" fillId="0" borderId="15" xfId="0" applyFont="1" applyBorder="1"/>
    <xf numFmtId="0" fontId="17" fillId="0" borderId="21" xfId="0" applyFont="1" applyBorder="1"/>
    <xf numFmtId="0" fontId="17" fillId="0" borderId="16" xfId="0" applyFont="1" applyBorder="1"/>
    <xf numFmtId="0" fontId="17" fillId="0" borderId="23" xfId="0" applyFont="1" applyBorder="1"/>
    <xf numFmtId="16" fontId="17" fillId="0" borderId="1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3" xfId="0" applyFill="1" applyBorder="1" applyAlignment="1"/>
    <xf numFmtId="0" fontId="0" fillId="0" borderId="4" xfId="0" applyFill="1" applyBorder="1" applyAlignment="1"/>
    <xf numFmtId="165" fontId="0" fillId="0" borderId="4" xfId="0" applyNumberFormat="1" applyFill="1" applyBorder="1" applyAlignment="1"/>
    <xf numFmtId="0" fontId="0" fillId="0" borderId="10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26" xfId="0" applyFill="1" applyBorder="1"/>
    <xf numFmtId="0" fontId="0" fillId="0" borderId="12" xfId="0" applyFill="1" applyBorder="1"/>
    <xf numFmtId="0" fontId="0" fillId="0" borderId="26" xfId="0" applyFill="1" applyBorder="1" applyAlignment="1"/>
    <xf numFmtId="0" fontId="0" fillId="0" borderId="12" xfId="0" applyFill="1" applyBorder="1" applyAlignment="1"/>
    <xf numFmtId="164" fontId="4" fillId="2" borderId="3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9" xfId="0" applyFont="1" applyBorder="1"/>
    <xf numFmtId="0" fontId="18" fillId="0" borderId="16" xfId="0" applyFont="1" applyBorder="1"/>
    <xf numFmtId="0" fontId="18" fillId="0" borderId="16" xfId="0" applyFont="1" applyBorder="1" applyAlignment="1">
      <alignment horizontal="center"/>
    </xf>
    <xf numFmtId="165" fontId="17" fillId="0" borderId="16" xfId="0" applyNumberFormat="1" applyFont="1" applyBorder="1"/>
    <xf numFmtId="2" fontId="17" fillId="0" borderId="16" xfId="0" applyNumberFormat="1" applyFont="1" applyBorder="1"/>
    <xf numFmtId="9" fontId="17" fillId="0" borderId="16" xfId="0" applyNumberFormat="1" applyFont="1" applyBorder="1"/>
    <xf numFmtId="0" fontId="18" fillId="0" borderId="16" xfId="0" applyFont="1" applyFill="1" applyBorder="1"/>
    <xf numFmtId="0" fontId="18" fillId="0" borderId="16" xfId="0" applyFont="1" applyFill="1" applyBorder="1" applyAlignment="1">
      <alignment horizontal="center"/>
    </xf>
    <xf numFmtId="0" fontId="19" fillId="0" borderId="16" xfId="0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2" fontId="21" fillId="0" borderId="37" xfId="0" applyNumberFormat="1" applyFont="1" applyBorder="1" applyAlignment="1">
      <alignment horizontal="center"/>
    </xf>
    <xf numFmtId="2" fontId="22" fillId="0" borderId="39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2" fontId="22" fillId="0" borderId="1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2" fontId="22" fillId="0" borderId="23" xfId="0" applyNumberFormat="1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2" fontId="22" fillId="0" borderId="21" xfId="0" applyNumberFormat="1" applyFont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43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13" xfId="0" applyFont="1" applyBorder="1" applyAlignment="1">
      <alignment horizontal="left" vertical="top" wrapText="1"/>
    </xf>
    <xf numFmtId="0" fontId="0" fillId="0" borderId="19" xfId="0" applyBorder="1" applyAlignment="1">
      <alignment horizontal="left" wrapText="1"/>
    </xf>
    <xf numFmtId="0" fontId="0" fillId="0" borderId="4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4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8;&#1072;&#1088;&#1080;&#1092;&#1099;%20&#1085;&#1072;%202015\&#1080;&#1085;&#1092;&#1086;&#1088;&#1084;&#1072;&#1094;&#1080;&#1103;%20&#1046;&#1069;&#1059;\&#1069;&#1051;&#1048;&#10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89;&#1095;&#1077;&#1090;%20&#1087;&#1088;&#1086;&#1084;&#1099;&#1074;&#1082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57;&#1080;&#1056;&#1046;%20&#1085;&#1072;%202015-&#1101;&#1082;&#1086;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D7">
            <v>7</v>
          </cell>
          <cell r="E7">
            <v>7</v>
          </cell>
        </row>
        <row r="8">
          <cell r="D8">
            <v>27</v>
          </cell>
          <cell r="E8">
            <v>27</v>
          </cell>
        </row>
        <row r="9">
          <cell r="D9">
            <v>6</v>
          </cell>
          <cell r="E9">
            <v>6</v>
          </cell>
        </row>
        <row r="10">
          <cell r="D10">
            <v>24.2</v>
          </cell>
          <cell r="E10">
            <v>24.2</v>
          </cell>
        </row>
        <row r="11">
          <cell r="D11">
            <v>10</v>
          </cell>
          <cell r="E11">
            <v>11</v>
          </cell>
        </row>
        <row r="12">
          <cell r="D12">
            <v>8</v>
          </cell>
          <cell r="E12">
            <v>9</v>
          </cell>
        </row>
        <row r="13">
          <cell r="D13">
            <v>4100</v>
          </cell>
          <cell r="E13">
            <v>4500</v>
          </cell>
        </row>
        <row r="14">
          <cell r="D14">
            <v>0</v>
          </cell>
          <cell r="E14">
            <v>0</v>
          </cell>
        </row>
        <row r="15">
          <cell r="D15">
            <v>20.2</v>
          </cell>
          <cell r="E15">
            <v>20.2</v>
          </cell>
        </row>
        <row r="16">
          <cell r="D16">
            <v>85.4</v>
          </cell>
          <cell r="E16">
            <v>75.099999999999994</v>
          </cell>
        </row>
        <row r="17">
          <cell r="D17">
            <v>3348.7</v>
          </cell>
          <cell r="E17">
            <v>2738.6</v>
          </cell>
        </row>
        <row r="18">
          <cell r="D18">
            <v>1045.5</v>
          </cell>
          <cell r="E18">
            <v>785.1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O12">
            <v>865.2</v>
          </cell>
        </row>
        <row r="14">
          <cell r="O14">
            <v>3005.2</v>
          </cell>
        </row>
        <row r="17">
          <cell r="O17">
            <v>8332</v>
          </cell>
        </row>
        <row r="23">
          <cell r="O23">
            <v>865.2</v>
          </cell>
        </row>
        <row r="25">
          <cell r="O25">
            <v>3005.2</v>
          </cell>
        </row>
        <row r="27">
          <cell r="O27">
            <v>8332</v>
          </cell>
        </row>
      </sheetData>
      <sheetData sheetId="1">
        <row r="46">
          <cell r="F46">
            <v>664.91093505626986</v>
          </cell>
        </row>
        <row r="47">
          <cell r="F47">
            <v>909.71191752312586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йм"/>
      <sheetName val="Исх.данные"/>
      <sheetName val="Данные ЖЭУ"/>
      <sheetName val="Цены ЖЭУ"/>
      <sheetName val="Цены"/>
      <sheetName val="Сод.помещ."/>
      <sheetName val="придом.терр."/>
      <sheetName val="Промывка"/>
      <sheetName val="Сезон.экспалуат"/>
      <sheetName val="Вывоз ТБО"/>
      <sheetName val="Вывоз ЖБО"/>
      <sheetName val="Управление"/>
      <sheetName val="Тех.осмотр"/>
      <sheetName val="ОДПУ,ИПУ, лифт"/>
      <sheetName val="Свод"/>
    </sheetNames>
    <sheetDataSet>
      <sheetData sheetId="0"/>
      <sheetData sheetId="1"/>
      <sheetData sheetId="2"/>
      <sheetData sheetId="3"/>
      <sheetData sheetId="4"/>
      <sheetData sheetId="5">
        <row r="28">
          <cell r="L28">
            <v>1.8280002507009998</v>
          </cell>
        </row>
      </sheetData>
      <sheetData sheetId="6">
        <row r="27">
          <cell r="L27">
            <v>0.57637099846259388</v>
          </cell>
        </row>
        <row r="58">
          <cell r="L58">
            <v>0.31414355478995454</v>
          </cell>
        </row>
        <row r="90">
          <cell r="L90">
            <v>2.8629410197136072E-2</v>
          </cell>
        </row>
        <row r="122">
          <cell r="L122">
            <v>0.46248633695163599</v>
          </cell>
        </row>
        <row r="147">
          <cell r="K147">
            <v>2.4613502012882461E-2</v>
          </cell>
        </row>
        <row r="177">
          <cell r="K177">
            <v>0.1213391446054751</v>
          </cell>
        </row>
        <row r="203">
          <cell r="M203">
            <v>0.17</v>
          </cell>
        </row>
        <row r="232">
          <cell r="L232">
            <v>0.19779497186833955</v>
          </cell>
        </row>
        <row r="255">
          <cell r="M255">
            <v>5.2638209884660399E-2</v>
          </cell>
        </row>
      </sheetData>
      <sheetData sheetId="7">
        <row r="14">
          <cell r="Q14">
            <v>0.12350579886334404</v>
          </cell>
        </row>
        <row r="25">
          <cell r="Q25">
            <v>0.51306044220188129</v>
          </cell>
        </row>
      </sheetData>
      <sheetData sheetId="8">
        <row r="56">
          <cell r="K56">
            <v>3.0950280633051528</v>
          </cell>
        </row>
        <row r="92">
          <cell r="K92">
            <v>2.9497614420289853E-2</v>
          </cell>
        </row>
        <row r="124">
          <cell r="K124">
            <v>0.21162065753623191</v>
          </cell>
        </row>
        <row r="174">
          <cell r="K174">
            <v>0.10300921726650564</v>
          </cell>
        </row>
        <row r="207">
          <cell r="K207">
            <v>0.36594168462157822</v>
          </cell>
        </row>
        <row r="237">
          <cell r="K237">
            <v>0.01</v>
          </cell>
        </row>
      </sheetData>
      <sheetData sheetId="9">
        <row r="31">
          <cell r="D31">
            <v>1.5</v>
          </cell>
        </row>
      </sheetData>
      <sheetData sheetId="10"/>
      <sheetData sheetId="11">
        <row r="16">
          <cell r="C16">
            <v>1.7843200000000001</v>
          </cell>
        </row>
        <row r="17">
          <cell r="C17">
            <v>0.30624000000000001</v>
          </cell>
        </row>
      </sheetData>
      <sheetData sheetId="12">
        <row r="23">
          <cell r="K23">
            <v>0.15886341086956521</v>
          </cell>
        </row>
        <row r="50">
          <cell r="K50">
            <v>0.32263584311594212</v>
          </cell>
        </row>
        <row r="74">
          <cell r="K74">
            <v>0.92435699334239141</v>
          </cell>
        </row>
        <row r="85">
          <cell r="K85">
            <v>4.6473821981002056E-2</v>
          </cell>
        </row>
        <row r="115">
          <cell r="K115">
            <v>6.1146406145191012E-2</v>
          </cell>
        </row>
        <row r="140">
          <cell r="K140">
            <v>5.4753604175408706E-2</v>
          </cell>
        </row>
        <row r="156">
          <cell r="J156">
            <v>3.978620367828703E-2</v>
          </cell>
        </row>
      </sheetData>
      <sheetData sheetId="13">
        <row r="8">
          <cell r="C8">
            <v>0.42381044114814104</v>
          </cell>
        </row>
        <row r="51">
          <cell r="K51">
            <v>0.12939582508559505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20" sqref="A20"/>
    </sheetView>
  </sheetViews>
  <sheetFormatPr defaultRowHeight="12.75"/>
  <cols>
    <col min="1" max="1" width="72.5703125" bestFit="1" customWidth="1"/>
    <col min="4" max="4" width="6.5703125" bestFit="1" customWidth="1"/>
    <col min="5" max="5" width="9" bestFit="1" customWidth="1"/>
    <col min="6" max="6" width="7.85546875" bestFit="1" customWidth="1"/>
    <col min="7" max="7" width="6.42578125" bestFit="1" customWidth="1"/>
  </cols>
  <sheetData>
    <row r="1" spans="1:7" ht="15">
      <c r="A1" s="303" t="s">
        <v>741</v>
      </c>
    </row>
    <row r="3" spans="1:7" ht="13.5" thickBot="1"/>
    <row r="4" spans="1:7" ht="15.75" thickBot="1">
      <c r="A4" s="304"/>
      <c r="B4" s="304"/>
      <c r="C4" s="330">
        <v>2014</v>
      </c>
      <c r="D4" s="373">
        <v>2015</v>
      </c>
      <c r="E4" s="371"/>
      <c r="F4" s="371"/>
      <c r="G4" s="372"/>
    </row>
    <row r="5" spans="1:7" ht="15.75" thickBot="1">
      <c r="A5" s="331"/>
      <c r="B5" s="331" t="s">
        <v>742</v>
      </c>
      <c r="C5" s="332" t="s">
        <v>743</v>
      </c>
      <c r="D5" s="371" t="s">
        <v>738</v>
      </c>
      <c r="E5" s="372"/>
      <c r="F5" s="373" t="s">
        <v>740</v>
      </c>
      <c r="G5" s="372"/>
    </row>
    <row r="6" spans="1:7" ht="15.75" thickBot="1">
      <c r="A6" s="305"/>
      <c r="B6" s="305" t="s">
        <v>138</v>
      </c>
      <c r="C6" s="333"/>
      <c r="D6" s="334" t="s">
        <v>739</v>
      </c>
      <c r="E6" s="306" t="s">
        <v>59</v>
      </c>
      <c r="F6" s="334" t="s">
        <v>739</v>
      </c>
      <c r="G6" s="306" t="s">
        <v>59</v>
      </c>
    </row>
    <row r="7" spans="1:7" ht="15">
      <c r="A7" s="311" t="s">
        <v>733</v>
      </c>
      <c r="B7" s="311"/>
      <c r="C7" s="311"/>
      <c r="D7" s="311"/>
      <c r="E7" s="311"/>
      <c r="F7" s="311"/>
      <c r="G7" s="311"/>
    </row>
    <row r="8" spans="1:7" ht="15">
      <c r="A8" s="335" t="s">
        <v>734</v>
      </c>
      <c r="B8" s="336" t="s">
        <v>408</v>
      </c>
      <c r="C8" s="336">
        <v>5.89</v>
      </c>
      <c r="D8" s="313">
        <f>C8+D14</f>
        <v>11.989999999999998</v>
      </c>
      <c r="E8" s="337">
        <f>D8/C8-1</f>
        <v>1.0356536502546687</v>
      </c>
      <c r="F8" s="338">
        <f>C8*(1+G8)</f>
        <v>7.3624999999999998</v>
      </c>
      <c r="G8" s="339">
        <v>0.25</v>
      </c>
    </row>
    <row r="9" spans="1:7" ht="15">
      <c r="A9" s="335" t="s">
        <v>735</v>
      </c>
      <c r="B9" s="336" t="s">
        <v>408</v>
      </c>
      <c r="C9" s="336">
        <v>4.1399999999999997</v>
      </c>
      <c r="D9" s="313">
        <f>C9+D14</f>
        <v>10.239999999999998</v>
      </c>
      <c r="E9" s="337">
        <f t="shared" ref="E9:E14" si="0">D9/C9-1</f>
        <v>1.4734299516908211</v>
      </c>
      <c r="F9" s="338">
        <f t="shared" ref="F9:F14" si="1">C9*(1+G9)</f>
        <v>5.1749999999999998</v>
      </c>
      <c r="G9" s="339">
        <v>0.25</v>
      </c>
    </row>
    <row r="10" spans="1:7" ht="15">
      <c r="A10" s="335" t="s">
        <v>736</v>
      </c>
      <c r="B10" s="336"/>
      <c r="C10" s="336"/>
      <c r="D10" s="313"/>
      <c r="E10" s="337"/>
      <c r="F10" s="338"/>
      <c r="G10" s="339"/>
    </row>
    <row r="11" spans="1:7" ht="15">
      <c r="A11" s="335" t="s">
        <v>737</v>
      </c>
      <c r="B11" s="336" t="s">
        <v>408</v>
      </c>
      <c r="C11" s="336">
        <v>9.08</v>
      </c>
      <c r="D11" s="313">
        <f>C11+D14</f>
        <v>15.18</v>
      </c>
      <c r="E11" s="337">
        <f t="shared" si="0"/>
        <v>0.67180616740088106</v>
      </c>
      <c r="F11" s="338">
        <f t="shared" si="1"/>
        <v>11.35</v>
      </c>
      <c r="G11" s="339">
        <v>0.25</v>
      </c>
    </row>
    <row r="12" spans="1:7" ht="15">
      <c r="A12" s="335" t="s">
        <v>734</v>
      </c>
      <c r="B12" s="336" t="s">
        <v>408</v>
      </c>
      <c r="C12" s="336">
        <v>6.35</v>
      </c>
      <c r="D12" s="313">
        <f>C12+D14</f>
        <v>12.45</v>
      </c>
      <c r="E12" s="337">
        <f t="shared" si="0"/>
        <v>0.96062992125984259</v>
      </c>
      <c r="F12" s="338">
        <f t="shared" si="1"/>
        <v>7.9375</v>
      </c>
      <c r="G12" s="339">
        <v>0.25</v>
      </c>
    </row>
    <row r="13" spans="1:7" ht="15">
      <c r="A13" s="335" t="s">
        <v>735</v>
      </c>
      <c r="B13" s="336" t="s">
        <v>408</v>
      </c>
      <c r="C13" s="336">
        <v>4.4800000000000004</v>
      </c>
      <c r="D13" s="313">
        <f>C13+D14</f>
        <v>10.58</v>
      </c>
      <c r="E13" s="337">
        <f t="shared" si="0"/>
        <v>1.3616071428571428</v>
      </c>
      <c r="F13" s="338">
        <f t="shared" si="1"/>
        <v>5.6000000000000005</v>
      </c>
      <c r="G13" s="339">
        <v>0.25</v>
      </c>
    </row>
    <row r="14" spans="1:7" ht="15">
      <c r="A14" s="340" t="s">
        <v>744</v>
      </c>
      <c r="B14" s="341" t="s">
        <v>408</v>
      </c>
      <c r="C14" s="336">
        <v>5.7</v>
      </c>
      <c r="D14" s="336">
        <v>6.1</v>
      </c>
      <c r="E14" s="337">
        <f t="shared" si="0"/>
        <v>7.0175438596491224E-2</v>
      </c>
      <c r="F14" s="338">
        <f t="shared" si="1"/>
        <v>6.1000000000000005</v>
      </c>
      <c r="G14" s="337">
        <f>E14</f>
        <v>7.0175438596491224E-2</v>
      </c>
    </row>
  </sheetData>
  <mergeCells count="3">
    <mergeCell ref="D5:E5"/>
    <mergeCell ref="F5:G5"/>
    <mergeCell ref="D4:G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workbookViewId="0">
      <selection activeCell="H30" sqref="H30"/>
    </sheetView>
  </sheetViews>
  <sheetFormatPr defaultRowHeight="12.75"/>
  <cols>
    <col min="1" max="1" width="5.5703125" customWidth="1"/>
    <col min="2" max="2" width="20.5703125" customWidth="1"/>
    <col min="3" max="3" width="6.85546875" bestFit="1" customWidth="1"/>
    <col min="4" max="4" width="28.28515625" bestFit="1" customWidth="1"/>
  </cols>
  <sheetData>
    <row r="1" spans="1:6">
      <c r="B1" s="210" t="s">
        <v>657</v>
      </c>
    </row>
    <row r="3" spans="1:6">
      <c r="A3" t="s">
        <v>7</v>
      </c>
      <c r="D3" s="262" t="s">
        <v>594</v>
      </c>
    </row>
    <row r="4" spans="1:6" ht="84.75" customHeight="1">
      <c r="A4" t="s">
        <v>9</v>
      </c>
      <c r="D4" s="291">
        <v>10</v>
      </c>
      <c r="E4" s="19" t="s">
        <v>595</v>
      </c>
      <c r="F4" s="19" t="s">
        <v>596</v>
      </c>
    </row>
    <row r="5" spans="1:6">
      <c r="A5" t="s">
        <v>10</v>
      </c>
    </row>
    <row r="6" spans="1:6">
      <c r="A6" t="s">
        <v>12</v>
      </c>
      <c r="E6" s="263">
        <v>9.5</v>
      </c>
      <c r="F6" t="s">
        <v>597</v>
      </c>
    </row>
    <row r="8" spans="1:6">
      <c r="A8" s="429" t="s">
        <v>546</v>
      </c>
      <c r="B8" s="429"/>
      <c r="C8" s="429"/>
      <c r="D8" s="429"/>
    </row>
    <row r="9" spans="1:6">
      <c r="A9" t="s">
        <v>725</v>
      </c>
    </row>
    <row r="11" spans="1:6">
      <c r="A11" t="s">
        <v>7</v>
      </c>
      <c r="D11" s="262" t="s">
        <v>594</v>
      </c>
    </row>
    <row r="12" spans="1:6" ht="89.25">
      <c r="A12" t="s">
        <v>9</v>
      </c>
      <c r="D12" s="292">
        <v>10</v>
      </c>
      <c r="E12" s="19" t="s">
        <v>595</v>
      </c>
      <c r="F12" s="19" t="s">
        <v>596</v>
      </c>
    </row>
    <row r="13" spans="1:6">
      <c r="A13" t="s">
        <v>10</v>
      </c>
    </row>
    <row r="14" spans="1:6">
      <c r="A14" t="s">
        <v>12</v>
      </c>
      <c r="E14" s="263">
        <v>9.5</v>
      </c>
      <c r="F14" t="s">
        <v>597</v>
      </c>
    </row>
    <row r="16" spans="1:6">
      <c r="A16" s="429" t="s">
        <v>546</v>
      </c>
      <c r="B16" s="429"/>
      <c r="C16" s="429"/>
      <c r="D16" s="429"/>
    </row>
    <row r="17" spans="1:4">
      <c r="A17" t="s">
        <v>653</v>
      </c>
      <c r="D17" s="1"/>
    </row>
    <row r="18" spans="1:4" ht="13.5" thickBot="1">
      <c r="D18" s="1"/>
    </row>
    <row r="19" spans="1:4" ht="30.75" customHeight="1">
      <c r="A19" s="15" t="s">
        <v>71</v>
      </c>
      <c r="B19" s="15" t="s">
        <v>63</v>
      </c>
      <c r="C19" s="15" t="s">
        <v>137</v>
      </c>
      <c r="D19" s="12"/>
    </row>
    <row r="20" spans="1:4" ht="13.5" thickBot="1">
      <c r="A20" s="9"/>
      <c r="B20" s="9"/>
      <c r="C20" s="9" t="s">
        <v>138</v>
      </c>
      <c r="D20" s="11"/>
    </row>
    <row r="21" spans="1:4">
      <c r="A21">
        <v>1</v>
      </c>
      <c r="B21" t="s">
        <v>592</v>
      </c>
      <c r="C21" t="s">
        <v>593</v>
      </c>
      <c r="D21" s="1">
        <v>0.15</v>
      </c>
    </row>
    <row r="22" spans="1:4">
      <c r="A22">
        <v>2</v>
      </c>
      <c r="B22" t="s">
        <v>549</v>
      </c>
      <c r="C22" t="s">
        <v>550</v>
      </c>
      <c r="D22" s="1"/>
    </row>
    <row r="23" spans="1:4">
      <c r="B23" t="s">
        <v>652</v>
      </c>
      <c r="D23" s="1">
        <v>161.46</v>
      </c>
    </row>
    <row r="24" spans="1:4">
      <c r="B24" t="s">
        <v>726</v>
      </c>
      <c r="D24" s="1">
        <v>171.12</v>
      </c>
    </row>
    <row r="25" spans="1:4">
      <c r="B25" t="s">
        <v>548</v>
      </c>
      <c r="C25" t="s">
        <v>501</v>
      </c>
      <c r="D25" s="231">
        <f>D24/D23</f>
        <v>1.0598290598290598</v>
      </c>
    </row>
    <row r="26" spans="1:4">
      <c r="D26" s="1"/>
    </row>
    <row r="27" spans="1:4">
      <c r="A27">
        <v>2</v>
      </c>
      <c r="B27" t="s">
        <v>655</v>
      </c>
      <c r="C27" t="s">
        <v>501</v>
      </c>
      <c r="D27" s="293">
        <v>1</v>
      </c>
    </row>
    <row r="28" spans="1:4" ht="25.5">
      <c r="A28">
        <v>3</v>
      </c>
      <c r="B28" s="232" t="s">
        <v>551</v>
      </c>
      <c r="C28" t="s">
        <v>522</v>
      </c>
      <c r="D28" s="1"/>
    </row>
    <row r="29" spans="1:4">
      <c r="B29" t="s">
        <v>547</v>
      </c>
      <c r="D29" s="1">
        <v>1.41</v>
      </c>
    </row>
    <row r="30" spans="1:4">
      <c r="B30" t="s">
        <v>656</v>
      </c>
      <c r="D30" s="1" t="s">
        <v>730</v>
      </c>
    </row>
    <row r="31" spans="1:4">
      <c r="D31" s="165">
        <v>1.5</v>
      </c>
    </row>
  </sheetData>
  <mergeCells count="2">
    <mergeCell ref="A8:D8"/>
    <mergeCell ref="A16:D16"/>
  </mergeCells>
  <phoneticPr fontId="5" type="noConversion"/>
  <pageMargins left="0.24" right="0.34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9"/>
  <sheetViews>
    <sheetView tabSelected="1" topLeftCell="A10" workbookViewId="0">
      <selection activeCell="H81" sqref="H81"/>
    </sheetView>
  </sheetViews>
  <sheetFormatPr defaultRowHeight="12.75"/>
  <cols>
    <col min="1" max="1" width="6.140625" customWidth="1"/>
    <col min="2" max="2" width="57" customWidth="1"/>
    <col min="3" max="3" width="27.42578125" customWidth="1"/>
    <col min="4" max="4" width="8.140625" style="354" customWidth="1"/>
  </cols>
  <sheetData>
    <row r="1" spans="1:4" ht="18.75">
      <c r="A1" s="432" t="s">
        <v>661</v>
      </c>
      <c r="B1" s="432"/>
      <c r="C1" s="432"/>
      <c r="D1" s="432"/>
    </row>
    <row r="2" spans="1:4" ht="19.5" thickBot="1">
      <c r="A2" s="290" t="s">
        <v>662</v>
      </c>
      <c r="B2" s="189"/>
      <c r="C2" s="189"/>
      <c r="D2" s="367"/>
    </row>
    <row r="3" spans="1:4" ht="15">
      <c r="A3" s="190"/>
      <c r="B3" s="192"/>
      <c r="C3" s="190" t="s">
        <v>453</v>
      </c>
      <c r="D3" s="370" t="s">
        <v>500</v>
      </c>
    </row>
    <row r="4" spans="1:4" ht="15">
      <c r="A4" s="191" t="s">
        <v>71</v>
      </c>
      <c r="B4" s="193" t="s">
        <v>452</v>
      </c>
      <c r="C4" s="191" t="s">
        <v>454</v>
      </c>
      <c r="D4" s="4"/>
    </row>
    <row r="5" spans="1:4" ht="15">
      <c r="A5" s="191" t="s">
        <v>73</v>
      </c>
      <c r="B5" s="193"/>
      <c r="C5" s="191" t="s">
        <v>455</v>
      </c>
      <c r="D5" s="342" t="s">
        <v>16</v>
      </c>
    </row>
    <row r="6" spans="1:4" ht="15.75">
      <c r="A6" s="438" t="s">
        <v>456</v>
      </c>
      <c r="B6" s="439"/>
      <c r="C6" s="439"/>
      <c r="D6" s="440"/>
    </row>
    <row r="7" spans="1:4" ht="14.25">
      <c r="A7" s="178" t="s">
        <v>77</v>
      </c>
      <c r="B7" s="176" t="s">
        <v>457</v>
      </c>
      <c r="C7" s="175" t="s">
        <v>460</v>
      </c>
      <c r="D7" s="359">
        <f>[3]Сод.помещ.!L28</f>
        <v>1.8280002507009998</v>
      </c>
    </row>
    <row r="8" spans="1:4" ht="12.75" customHeight="1">
      <c r="A8" s="179"/>
      <c r="B8" s="176" t="s">
        <v>458</v>
      </c>
      <c r="C8" s="175"/>
      <c r="D8" s="364"/>
    </row>
    <row r="9" spans="1:4" ht="14.25">
      <c r="A9" s="178" t="s">
        <v>79</v>
      </c>
      <c r="B9" s="181" t="s">
        <v>459</v>
      </c>
      <c r="C9" s="182" t="s">
        <v>460</v>
      </c>
      <c r="D9" s="360"/>
    </row>
    <row r="10" spans="1:4" ht="14.25">
      <c r="A10" s="179"/>
      <c r="B10" s="186" t="s">
        <v>461</v>
      </c>
      <c r="C10" s="179" t="s">
        <v>462</v>
      </c>
      <c r="D10" s="361"/>
    </row>
    <row r="11" spans="1:4" ht="14.25">
      <c r="A11" s="174" t="s">
        <v>133</v>
      </c>
      <c r="B11" s="181" t="s">
        <v>463</v>
      </c>
      <c r="C11" s="182" t="s">
        <v>464</v>
      </c>
      <c r="D11" s="360"/>
    </row>
    <row r="12" spans="1:4" ht="14.25">
      <c r="A12" s="179"/>
      <c r="B12" s="186" t="s">
        <v>465</v>
      </c>
      <c r="C12" s="179"/>
      <c r="D12" s="361"/>
    </row>
    <row r="13" spans="1:4" ht="14.25">
      <c r="A13" s="174" t="s">
        <v>82</v>
      </c>
      <c r="B13" s="183" t="s">
        <v>466</v>
      </c>
      <c r="C13" s="182" t="s">
        <v>467</v>
      </c>
      <c r="D13" s="360"/>
    </row>
    <row r="14" spans="1:4" ht="14.25">
      <c r="A14" s="180"/>
      <c r="B14" s="185" t="s">
        <v>468</v>
      </c>
      <c r="C14" s="179"/>
      <c r="D14" s="361"/>
    </row>
    <row r="15" spans="1:4" ht="15" thickBot="1">
      <c r="A15" s="177"/>
      <c r="B15" s="184"/>
      <c r="C15" s="175"/>
      <c r="D15" s="364"/>
    </row>
    <row r="16" spans="1:4" ht="15.75" thickBot="1">
      <c r="A16" s="196"/>
      <c r="B16" s="195" t="s">
        <v>261</v>
      </c>
      <c r="C16" s="194"/>
      <c r="D16" s="343">
        <f>SUM(D7:D15)</f>
        <v>1.8280002507009998</v>
      </c>
    </row>
    <row r="17" spans="1:21" ht="15.75">
      <c r="A17" s="197" t="s">
        <v>502</v>
      </c>
      <c r="B17" s="198"/>
      <c r="C17" s="198"/>
      <c r="D17" s="368"/>
    </row>
    <row r="18" spans="1:21" ht="14.25">
      <c r="A18" s="174" t="s">
        <v>86</v>
      </c>
      <c r="B18" s="174" t="s">
        <v>469</v>
      </c>
      <c r="C18" s="182" t="s">
        <v>470</v>
      </c>
      <c r="D18" s="360">
        <f>[3]придом.терр.!L58</f>
        <v>0.31414355478995454</v>
      </c>
    </row>
    <row r="19" spans="1:21" ht="14.25">
      <c r="A19" s="186" t="s">
        <v>269</v>
      </c>
      <c r="B19" s="186" t="s">
        <v>471</v>
      </c>
      <c r="C19" s="179"/>
      <c r="D19" s="361"/>
    </row>
    <row r="20" spans="1:21" ht="14.25">
      <c r="A20" s="174" t="s">
        <v>8</v>
      </c>
      <c r="B20" s="181" t="s">
        <v>472</v>
      </c>
      <c r="C20" s="182" t="s">
        <v>473</v>
      </c>
      <c r="D20" s="360">
        <f>[3]придом.терр.!L27</f>
        <v>0.57637099846259388</v>
      </c>
      <c r="E20" s="21"/>
    </row>
    <row r="21" spans="1:21" ht="14.25">
      <c r="A21" s="186" t="s">
        <v>11</v>
      </c>
      <c r="B21" s="186" t="s">
        <v>474</v>
      </c>
      <c r="C21" s="179" t="s">
        <v>475</v>
      </c>
      <c r="D21" s="362">
        <f>[3]придом.терр.!K177</f>
        <v>0.1213391446054751</v>
      </c>
    </row>
    <row r="22" spans="1:21" ht="14.25">
      <c r="A22" s="174" t="s">
        <v>273</v>
      </c>
      <c r="B22" s="181" t="s">
        <v>230</v>
      </c>
      <c r="C22" s="182" t="s">
        <v>475</v>
      </c>
      <c r="D22" s="360">
        <f>[3]придом.терр.!K147</f>
        <v>2.4613502012882461E-2</v>
      </c>
    </row>
    <row r="23" spans="1:21" ht="14.25">
      <c r="A23" s="174" t="s">
        <v>275</v>
      </c>
      <c r="B23" s="181" t="s">
        <v>503</v>
      </c>
      <c r="C23" s="182" t="s">
        <v>477</v>
      </c>
      <c r="D23" s="360">
        <f>[3]придом.терр.!L90</f>
        <v>2.8629410197136072E-2</v>
      </c>
    </row>
    <row r="24" spans="1:21" ht="14.25">
      <c r="A24" s="186"/>
      <c r="B24" s="186" t="s">
        <v>504</v>
      </c>
      <c r="C24" s="179" t="s">
        <v>478</v>
      </c>
      <c r="D24" s="361"/>
    </row>
    <row r="25" spans="1:21" ht="14.25">
      <c r="A25" s="181" t="s">
        <v>277</v>
      </c>
      <c r="B25" s="183" t="s">
        <v>476</v>
      </c>
      <c r="C25" s="182" t="s">
        <v>475</v>
      </c>
      <c r="D25" s="360">
        <f>[3]придом.терр.!L122</f>
        <v>0.46248633695163599</v>
      </c>
    </row>
    <row r="26" spans="1:21" ht="14.25">
      <c r="A26" s="175"/>
      <c r="B26" s="184" t="s">
        <v>479</v>
      </c>
      <c r="C26" s="175" t="s">
        <v>555</v>
      </c>
      <c r="D26" s="364"/>
    </row>
    <row r="27" spans="1:21" ht="17.25" customHeight="1">
      <c r="A27" s="181" t="s">
        <v>279</v>
      </c>
      <c r="B27" s="183" t="s">
        <v>618</v>
      </c>
      <c r="C27" s="182" t="s">
        <v>619</v>
      </c>
      <c r="D27" s="360">
        <f>[3]придом.терр.!L232</f>
        <v>0.19779497186833955</v>
      </c>
    </row>
    <row r="28" spans="1:21" ht="17.25" customHeight="1" thickBot="1">
      <c r="A28" s="287" t="s">
        <v>281</v>
      </c>
      <c r="B28" s="286" t="s">
        <v>620</v>
      </c>
      <c r="C28" s="278" t="s">
        <v>490</v>
      </c>
      <c r="D28" s="363">
        <f>[3]придом.терр.!M255</f>
        <v>5.2638209884660399E-2</v>
      </c>
    </row>
    <row r="29" spans="1:21" ht="15.75" thickBot="1">
      <c r="A29" s="201"/>
      <c r="B29" s="200" t="s">
        <v>261</v>
      </c>
      <c r="C29" s="200"/>
      <c r="D29" s="343">
        <f>SUM(D18:D28)</f>
        <v>1.7780161287726781</v>
      </c>
      <c r="E29" s="21"/>
    </row>
    <row r="30" spans="1:21" ht="15.75">
      <c r="A30" s="434" t="s">
        <v>480</v>
      </c>
      <c r="B30" s="435"/>
      <c r="C30" s="435"/>
      <c r="D30" s="436"/>
    </row>
    <row r="31" spans="1:21" ht="14.25">
      <c r="A31" s="181" t="s">
        <v>279</v>
      </c>
      <c r="B31" s="174" t="s">
        <v>505</v>
      </c>
      <c r="C31" s="182" t="s">
        <v>481</v>
      </c>
      <c r="D31" s="360">
        <f>[3]Сезон.экспалуат!K56</f>
        <v>3.0950280633051528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>
      <c r="A32" s="186"/>
      <c r="B32" s="186" t="s">
        <v>506</v>
      </c>
      <c r="C32" s="179"/>
      <c r="D32" s="36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>
      <c r="A33" s="181" t="s">
        <v>507</v>
      </c>
      <c r="B33" s="181" t="s">
        <v>508</v>
      </c>
      <c r="C33" s="182" t="s">
        <v>481</v>
      </c>
      <c r="D33" s="360">
        <f>[3]Промывка!Q14</f>
        <v>0.12350579886334404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>
      <c r="A34" s="186"/>
      <c r="B34" s="186"/>
      <c r="C34" s="179"/>
      <c r="D34" s="36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>
      <c r="A35" s="181"/>
      <c r="B35" s="181" t="s">
        <v>509</v>
      </c>
      <c r="C35" s="182" t="s">
        <v>481</v>
      </c>
      <c r="D35" s="360">
        <f>[3]Промывка!Q25</f>
        <v>0.51306044220188129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>
      <c r="A36" s="186" t="s">
        <v>511</v>
      </c>
      <c r="B36" s="186" t="s">
        <v>510</v>
      </c>
      <c r="C36" s="179"/>
      <c r="D36" s="36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>
      <c r="A37" s="181" t="s">
        <v>281</v>
      </c>
      <c r="B37" s="181" t="s">
        <v>512</v>
      </c>
      <c r="C37" s="182" t="s">
        <v>482</v>
      </c>
      <c r="D37" s="360">
        <f>[3]Сезон.экспалуат!K124</f>
        <v>0.21162065753623191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>
      <c r="A38" s="180"/>
      <c r="B38" s="186" t="s">
        <v>513</v>
      </c>
      <c r="C38" s="179" t="s">
        <v>483</v>
      </c>
      <c r="D38" s="36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>
      <c r="A39" s="182" t="s">
        <v>283</v>
      </c>
      <c r="B39" s="174" t="s">
        <v>322</v>
      </c>
      <c r="C39" s="182" t="s">
        <v>482</v>
      </c>
      <c r="D39" s="360">
        <f>[3]Сезон.экспалуат!K92</f>
        <v>2.9497614420289853E-2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>
      <c r="A40" s="179"/>
      <c r="B40" s="186"/>
      <c r="C40" s="179" t="s">
        <v>483</v>
      </c>
      <c r="D40" s="36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>
      <c r="A41" s="174" t="s">
        <v>285</v>
      </c>
      <c r="B41" s="174" t="s">
        <v>411</v>
      </c>
      <c r="C41" s="182" t="s">
        <v>482</v>
      </c>
      <c r="D41" s="360">
        <f>[3]Сезон.экспалуат!K174</f>
        <v>0.10300921726650564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>
      <c r="A42" s="179"/>
      <c r="B42" s="186"/>
      <c r="C42" s="179" t="s">
        <v>483</v>
      </c>
      <c r="D42" s="36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>
      <c r="A43" s="182" t="s">
        <v>287</v>
      </c>
      <c r="B43" s="174" t="s">
        <v>436</v>
      </c>
      <c r="C43" s="182" t="s">
        <v>482</v>
      </c>
      <c r="D43" s="360">
        <f>[3]Сезон.экспалуат!K207</f>
        <v>0.36594168462157822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>
      <c r="A44" s="179"/>
      <c r="B44" s="186"/>
      <c r="C44" s="179" t="s">
        <v>483</v>
      </c>
      <c r="D44" s="36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>
      <c r="A45" s="182" t="s">
        <v>289</v>
      </c>
      <c r="B45" s="174" t="s">
        <v>514</v>
      </c>
      <c r="C45" s="182" t="s">
        <v>482</v>
      </c>
      <c r="D45" s="360">
        <f>[3]Сезон.экспалуат!K237</f>
        <v>0.01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thickBot="1">
      <c r="A46" s="175"/>
      <c r="B46" s="176" t="s">
        <v>515</v>
      </c>
      <c r="C46" s="175" t="s">
        <v>483</v>
      </c>
      <c r="D46" s="36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thickBot="1">
      <c r="A47" s="201"/>
      <c r="B47" s="200" t="s">
        <v>261</v>
      </c>
      <c r="C47" s="194"/>
      <c r="D47" s="343">
        <f>SUM(D31,D37:D45)</f>
        <v>3.8150972371497587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>
      <c r="A48" s="434" t="s">
        <v>484</v>
      </c>
      <c r="B48" s="435"/>
      <c r="C48" s="435"/>
      <c r="D48" s="436"/>
    </row>
    <row r="49" spans="1:4" ht="14.25">
      <c r="A49" s="182"/>
      <c r="B49" s="181"/>
      <c r="C49" s="182"/>
      <c r="D49" s="369"/>
    </row>
    <row r="50" spans="1:4" ht="14.25">
      <c r="A50" s="175" t="s">
        <v>292</v>
      </c>
      <c r="B50" s="176" t="s">
        <v>485</v>
      </c>
      <c r="C50" s="175"/>
      <c r="D50" s="364"/>
    </row>
    <row r="51" spans="1:4" ht="14.25">
      <c r="A51" s="175"/>
      <c r="B51" s="176" t="s">
        <v>486</v>
      </c>
      <c r="C51" s="175"/>
      <c r="D51" s="359"/>
    </row>
    <row r="52" spans="1:4" ht="14.25">
      <c r="A52" s="175"/>
      <c r="B52" s="176" t="s">
        <v>487</v>
      </c>
      <c r="C52" s="175" t="s">
        <v>488</v>
      </c>
      <c r="D52" s="344"/>
    </row>
    <row r="53" spans="1:4" ht="14.25">
      <c r="A53" s="175" t="s">
        <v>507</v>
      </c>
      <c r="B53" s="176" t="s">
        <v>489</v>
      </c>
      <c r="C53" s="175" t="s">
        <v>490</v>
      </c>
      <c r="D53" s="350">
        <f>[3]Тех.осмотр!K23</f>
        <v>0.15886341086956521</v>
      </c>
    </row>
    <row r="54" spans="1:4" ht="14.25">
      <c r="A54" s="179" t="s">
        <v>511</v>
      </c>
      <c r="B54" s="176" t="s">
        <v>491</v>
      </c>
      <c r="C54" s="175" t="s">
        <v>490</v>
      </c>
      <c r="D54" s="355">
        <f>[3]Тех.осмотр!K50</f>
        <v>0.32263584311594212</v>
      </c>
    </row>
    <row r="55" spans="1:4" ht="14.25">
      <c r="A55" s="182"/>
      <c r="B55" s="187"/>
      <c r="C55" s="182" t="s">
        <v>492</v>
      </c>
      <c r="D55" s="359"/>
    </row>
    <row r="56" spans="1:4" ht="14.25">
      <c r="A56" s="182" t="s">
        <v>293</v>
      </c>
      <c r="B56" s="181" t="s">
        <v>26</v>
      </c>
      <c r="C56" s="182" t="s">
        <v>493</v>
      </c>
      <c r="D56" s="360">
        <f>[3]Тех.осмотр!K74+0.01</f>
        <v>0.93435699334239142</v>
      </c>
    </row>
    <row r="57" spans="1:4" ht="14.25">
      <c r="A57" s="179"/>
      <c r="B57" s="186"/>
      <c r="C57" s="179"/>
      <c r="D57" s="361"/>
    </row>
    <row r="58" spans="1:4" s="26" customFormat="1" ht="14.25">
      <c r="A58" s="182" t="s">
        <v>295</v>
      </c>
      <c r="B58" s="181" t="s">
        <v>494</v>
      </c>
      <c r="C58" s="182" t="s">
        <v>495</v>
      </c>
      <c r="D58" s="360">
        <f>[3]Тех.осмотр!K115</f>
        <v>6.1146406145191012E-2</v>
      </c>
    </row>
    <row r="59" spans="1:4" s="26" customFormat="1" ht="14.25">
      <c r="A59" s="179"/>
      <c r="B59" s="186"/>
      <c r="C59" s="179"/>
      <c r="D59" s="362"/>
    </row>
    <row r="60" spans="1:4" ht="14.25">
      <c r="A60" s="182" t="s">
        <v>297</v>
      </c>
      <c r="B60" s="181" t="s">
        <v>496</v>
      </c>
      <c r="C60" s="182" t="s">
        <v>497</v>
      </c>
      <c r="D60" s="360">
        <f>[3]Тех.осмотр!K140</f>
        <v>5.4753604175408706E-2</v>
      </c>
    </row>
    <row r="61" spans="1:4" ht="13.5" thickBot="1">
      <c r="A61" s="205"/>
      <c r="B61" s="205"/>
      <c r="C61" s="205"/>
      <c r="D61" s="356"/>
    </row>
    <row r="62" spans="1:4" s="210" customFormat="1" ht="15.75" thickBot="1">
      <c r="A62" s="223"/>
      <c r="B62" s="208" t="s">
        <v>261</v>
      </c>
      <c r="C62" s="218"/>
      <c r="D62" s="343">
        <f>SUM(D51:D60)</f>
        <v>1.5317562576484984</v>
      </c>
    </row>
    <row r="63" spans="1:4" s="210" customFormat="1" ht="15.75" thickBot="1">
      <c r="A63" s="202" t="s">
        <v>545</v>
      </c>
      <c r="B63" s="202"/>
      <c r="C63" s="219" t="s">
        <v>584</v>
      </c>
      <c r="D63" s="343">
        <f>[3]Тех.осмотр!K85</f>
        <v>4.6473821981002056E-2</v>
      </c>
    </row>
    <row r="64" spans="1:4" s="210" customFormat="1" ht="15.75" thickBot="1">
      <c r="A64" s="203" t="s">
        <v>498</v>
      </c>
      <c r="B64" s="204"/>
      <c r="C64" s="219" t="s">
        <v>584</v>
      </c>
      <c r="D64" s="343">
        <f>[3]Тех.осмотр!J156</f>
        <v>3.978620367828703E-2</v>
      </c>
    </row>
    <row r="65" spans="1:4" s="210" customFormat="1" ht="15.75" thickBot="1">
      <c r="A65" s="202" t="s">
        <v>544</v>
      </c>
      <c r="B65" s="204"/>
      <c r="C65" s="219"/>
      <c r="D65" s="343"/>
    </row>
    <row r="66" spans="1:4" s="210" customFormat="1" ht="15.75" thickBot="1">
      <c r="A66" s="203" t="s">
        <v>499</v>
      </c>
      <c r="B66" s="204"/>
      <c r="C66" s="219" t="s">
        <v>584</v>
      </c>
      <c r="D66" s="345">
        <f>SUM(D71,D67)</f>
        <v>2.09056</v>
      </c>
    </row>
    <row r="67" spans="1:4" s="84" customFormat="1" ht="28.5">
      <c r="A67" s="266" t="s">
        <v>299</v>
      </c>
      <c r="B67" s="267" t="s">
        <v>586</v>
      </c>
      <c r="C67" s="268" t="s">
        <v>587</v>
      </c>
      <c r="D67" s="346">
        <f>[3]Управление!C16</f>
        <v>1.7843200000000001</v>
      </c>
    </row>
    <row r="68" spans="1:4" s="84" customFormat="1" ht="14.25">
      <c r="A68" s="269"/>
      <c r="B68" s="270" t="s">
        <v>588</v>
      </c>
      <c r="C68" s="94"/>
      <c r="D68" s="347"/>
    </row>
    <row r="69" spans="1:4" s="84" customFormat="1" ht="14.25">
      <c r="A69" s="269"/>
      <c r="B69" s="270" t="s">
        <v>589</v>
      </c>
      <c r="C69" s="94"/>
      <c r="D69" s="347"/>
    </row>
    <row r="70" spans="1:4" ht="14.25">
      <c r="A70" s="269"/>
      <c r="B70" s="271" t="s">
        <v>590</v>
      </c>
      <c r="C70" s="7"/>
      <c r="D70" s="347"/>
    </row>
    <row r="71" spans="1:4" s="84" customFormat="1" ht="15" thickBot="1">
      <c r="A71" s="272" t="s">
        <v>301</v>
      </c>
      <c r="B71" s="273" t="s">
        <v>591</v>
      </c>
      <c r="C71" s="92" t="s">
        <v>584</v>
      </c>
      <c r="D71" s="348">
        <f>[3]Управление!C17</f>
        <v>0.30624000000000001</v>
      </c>
    </row>
    <row r="72" spans="1:4" s="210" customFormat="1" ht="15">
      <c r="A72" s="264"/>
      <c r="B72" s="265"/>
      <c r="C72" s="58"/>
      <c r="D72" s="349"/>
    </row>
    <row r="73" spans="1:4" ht="15.75">
      <c r="A73" s="212" t="s">
        <v>651</v>
      </c>
      <c r="B73" s="213"/>
      <c r="C73" s="209"/>
      <c r="D73" s="365"/>
    </row>
    <row r="74" spans="1:4" s="211" customFormat="1" ht="14.25">
      <c r="A74" s="214" t="s">
        <v>303</v>
      </c>
      <c r="B74" s="215" t="s">
        <v>529</v>
      </c>
      <c r="C74" s="216"/>
      <c r="D74" s="350">
        <f>'[3]Вывоз ТБО'!D31</f>
        <v>1.5</v>
      </c>
    </row>
    <row r="75" spans="1:4" s="211" customFormat="1" ht="14.25">
      <c r="A75" s="233" t="s">
        <v>305</v>
      </c>
      <c r="B75" s="215" t="s">
        <v>530</v>
      </c>
      <c r="C75" s="216" t="s">
        <v>531</v>
      </c>
      <c r="D75" s="350">
        <f>[3]придом.терр.!M203</f>
        <v>0.17</v>
      </c>
    </row>
    <row r="76" spans="1:4" s="211" customFormat="1" ht="15" thickBot="1">
      <c r="A76" s="234" t="s">
        <v>307</v>
      </c>
      <c r="B76" s="215" t="s">
        <v>552</v>
      </c>
      <c r="C76" s="217" t="s">
        <v>650</v>
      </c>
      <c r="D76" s="363"/>
    </row>
    <row r="77" spans="1:4" ht="15.75" thickBot="1">
      <c r="A77" s="207"/>
      <c r="B77" s="206" t="s">
        <v>261</v>
      </c>
      <c r="C77" s="13"/>
      <c r="D77" s="343">
        <f>SUM(D74:D76)</f>
        <v>1.67</v>
      </c>
    </row>
    <row r="78" spans="1:4" ht="15.75" thickBot="1">
      <c r="A78" s="437" t="s">
        <v>536</v>
      </c>
      <c r="B78" s="437"/>
      <c r="C78" s="437"/>
      <c r="D78" s="343">
        <f>2.75+0.41-0.01</f>
        <v>3.1500000000000004</v>
      </c>
    </row>
    <row r="79" spans="1:4" ht="27.75" customHeight="1" thickBot="1">
      <c r="A79" s="433" t="s">
        <v>533</v>
      </c>
      <c r="B79" s="433"/>
      <c r="C79" s="433"/>
      <c r="D79" s="343"/>
    </row>
    <row r="80" spans="1:4" ht="31.5" customHeight="1" thickBot="1">
      <c r="A80" s="14"/>
      <c r="B80" s="430" t="s">
        <v>556</v>
      </c>
      <c r="C80" s="431"/>
    </row>
    <row r="81" spans="1:12" ht="20.25" customHeight="1" thickBot="1">
      <c r="A81" s="214" t="s">
        <v>309</v>
      </c>
      <c r="B81" s="215" t="s">
        <v>557</v>
      </c>
      <c r="C81" s="194" t="s">
        <v>517</v>
      </c>
      <c r="D81" s="366">
        <f>'[3]ОДПУ,ИПУ, лифт'!C8</f>
        <v>0.42381044114814104</v>
      </c>
      <c r="E81" s="211"/>
      <c r="F81" s="211"/>
      <c r="G81" s="211"/>
      <c r="H81" s="211"/>
      <c r="I81" s="211"/>
      <c r="J81" s="211"/>
      <c r="K81" s="211"/>
      <c r="L81" s="211"/>
    </row>
    <row r="82" spans="1:12" ht="21" customHeight="1" thickBot="1">
      <c r="A82" s="215" t="s">
        <v>311</v>
      </c>
      <c r="B82" s="215" t="s">
        <v>600</v>
      </c>
      <c r="C82" s="275" t="s">
        <v>649</v>
      </c>
      <c r="D82" s="350">
        <f>'[3]ОДПУ,ИПУ, лифт'!K51</f>
        <v>0.12939582508559505</v>
      </c>
    </row>
    <row r="83" spans="1:12" ht="21" customHeight="1" thickBot="1">
      <c r="A83" s="15"/>
      <c r="B83" s="220" t="str">
        <f>B77</f>
        <v>Итого</v>
      </c>
      <c r="C83" s="190"/>
      <c r="D83" s="343">
        <f>SUM(D81:D82)</f>
        <v>0.55320626623373603</v>
      </c>
    </row>
    <row r="84" spans="1:12" ht="21.75" customHeight="1" thickBot="1">
      <c r="A84" s="15"/>
      <c r="B84" s="220" t="s">
        <v>537</v>
      </c>
      <c r="C84" s="190"/>
      <c r="D84" s="351">
        <f>SUM(D16,D29,D47,D62:D71,D77:D83)*0.01</f>
        <v>0.19146662432398701</v>
      </c>
    </row>
    <row r="85" spans="1:12" ht="18" customHeight="1">
      <c r="A85" s="221"/>
      <c r="B85" s="222" t="s">
        <v>534</v>
      </c>
      <c r="C85" s="222"/>
      <c r="D85" s="352">
        <f>D87*1.07-0.08</f>
        <v>16.686900000000001</v>
      </c>
    </row>
    <row r="86" spans="1:12" s="109" customFormat="1" ht="16.5" thickBot="1">
      <c r="A86" s="11"/>
      <c r="B86" s="11"/>
      <c r="C86" s="9"/>
      <c r="D86" s="353"/>
    </row>
    <row r="87" spans="1:12">
      <c r="B87" t="s">
        <v>648</v>
      </c>
      <c r="D87" s="357">
        <v>15.67</v>
      </c>
    </row>
    <row r="88" spans="1:12">
      <c r="B88" t="s">
        <v>535</v>
      </c>
      <c r="D88" s="358">
        <f>D85/D87</f>
        <v>1.0648947032546268</v>
      </c>
    </row>
    <row r="89" spans="1:12">
      <c r="D89" s="357"/>
      <c r="E89" s="188"/>
      <c r="F89" s="188"/>
      <c r="G89" s="188"/>
      <c r="H89" s="188"/>
      <c r="I89" s="188"/>
    </row>
  </sheetData>
  <mergeCells count="7">
    <mergeCell ref="B80:C80"/>
    <mergeCell ref="A1:D1"/>
    <mergeCell ref="A79:C79"/>
    <mergeCell ref="A30:D30"/>
    <mergeCell ref="A48:D48"/>
    <mergeCell ref="A78:C78"/>
    <mergeCell ref="A6:D6"/>
  </mergeCells>
  <phoneticPr fontId="5" type="noConversion"/>
  <pageMargins left="0.62" right="0.34" top="0.21" bottom="0.23" header="0.17" footer="0.16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2"/>
  <sheetViews>
    <sheetView topLeftCell="A39" workbookViewId="0">
      <selection activeCell="H47" sqref="H47:K47"/>
    </sheetView>
  </sheetViews>
  <sheetFormatPr defaultRowHeight="12.75"/>
  <cols>
    <col min="1" max="1" width="3.140625" customWidth="1"/>
    <col min="2" max="2" width="37.42578125" customWidth="1"/>
    <col min="3" max="3" width="9.7109375" customWidth="1"/>
    <col min="4" max="4" width="9.85546875" bestFit="1" customWidth="1"/>
    <col min="5" max="6" width="9.85546875" style="1" bestFit="1" customWidth="1"/>
    <col min="7" max="7" width="11.28515625" style="1" bestFit="1" customWidth="1"/>
    <col min="8" max="8" width="9.85546875" bestFit="1" customWidth="1"/>
    <col min="9" max="9" width="10.140625" style="1" customWidth="1"/>
    <col min="10" max="10" width="10.42578125" style="1" customWidth="1"/>
    <col min="11" max="11" width="9.140625" style="1"/>
    <col min="12" max="12" width="9.85546875" customWidth="1"/>
  </cols>
  <sheetData>
    <row r="1" spans="1:13" ht="19.5" thickBot="1">
      <c r="B1" s="374" t="s">
        <v>729</v>
      </c>
      <c r="C1" s="374"/>
      <c r="D1" s="374"/>
      <c r="E1" s="374"/>
    </row>
    <row r="2" spans="1:13" ht="13.5" thickBot="1">
      <c r="A2" s="29"/>
      <c r="B2" s="15"/>
      <c r="C2" s="375" t="s">
        <v>49</v>
      </c>
      <c r="D2" s="376"/>
      <c r="E2" s="376"/>
      <c r="F2" s="376"/>
      <c r="G2" s="376"/>
      <c r="H2" s="376"/>
      <c r="I2" s="376"/>
      <c r="J2" s="376"/>
      <c r="K2" s="377"/>
    </row>
    <row r="3" spans="1:13" ht="13.5" thickBot="1">
      <c r="A3" s="31"/>
      <c r="B3" s="27"/>
      <c r="C3" s="25" t="s">
        <v>16</v>
      </c>
      <c r="D3" s="5" t="s">
        <v>28</v>
      </c>
      <c r="E3" s="5" t="s">
        <v>36</v>
      </c>
      <c r="F3" s="5" t="s">
        <v>39</v>
      </c>
      <c r="G3" s="13">
        <v>2.5</v>
      </c>
      <c r="H3" s="13" t="s">
        <v>41</v>
      </c>
      <c r="I3" s="13" t="s">
        <v>44</v>
      </c>
      <c r="J3" s="13" t="s">
        <v>45</v>
      </c>
      <c r="K3" s="13" t="s">
        <v>46</v>
      </c>
      <c r="L3" s="13" t="s">
        <v>175</v>
      </c>
    </row>
    <row r="4" spans="1:13">
      <c r="A4" s="6"/>
      <c r="B4" s="6"/>
      <c r="C4" s="10"/>
      <c r="D4" s="12"/>
      <c r="E4" s="7"/>
      <c r="F4" s="12"/>
      <c r="G4" s="12"/>
      <c r="H4" s="12"/>
      <c r="I4" s="12"/>
      <c r="J4" s="12"/>
      <c r="K4" s="12"/>
      <c r="L4" s="12"/>
    </row>
    <row r="5" spans="1:13" ht="16.5" customHeight="1">
      <c r="A5" s="6">
        <v>1</v>
      </c>
      <c r="B5" s="6"/>
      <c r="C5" s="4" t="s">
        <v>17</v>
      </c>
      <c r="D5" s="7" t="s">
        <v>17</v>
      </c>
      <c r="E5" s="7" t="str">
        <f>C5</f>
        <v>МКД</v>
      </c>
      <c r="F5" s="7" t="s">
        <v>17</v>
      </c>
      <c r="G5" s="7" t="s">
        <v>17</v>
      </c>
      <c r="H5" s="7" t="s">
        <v>17</v>
      </c>
      <c r="I5" s="7" t="s">
        <v>17</v>
      </c>
      <c r="J5" s="7" t="s">
        <v>17</v>
      </c>
      <c r="K5" s="7" t="s">
        <v>17</v>
      </c>
      <c r="L5" s="7" t="s">
        <v>17</v>
      </c>
    </row>
    <row r="6" spans="1:13" s="19" customFormat="1" ht="31.5" customHeight="1">
      <c r="A6" s="16">
        <v>2</v>
      </c>
      <c r="B6" s="16" t="s">
        <v>27</v>
      </c>
      <c r="C6" s="17" t="s">
        <v>525</v>
      </c>
      <c r="D6" s="18"/>
      <c r="E6" s="18"/>
      <c r="F6" s="18"/>
      <c r="G6" s="18" t="s">
        <v>526</v>
      </c>
      <c r="H6" s="16" t="s">
        <v>42</v>
      </c>
      <c r="I6" s="18" t="s">
        <v>727</v>
      </c>
      <c r="J6" s="18"/>
      <c r="K6" s="18" t="s">
        <v>728</v>
      </c>
      <c r="L6" s="18" t="s">
        <v>528</v>
      </c>
    </row>
    <row r="7" spans="1:13" ht="16.5" customHeight="1">
      <c r="A7" s="6">
        <v>3</v>
      </c>
      <c r="B7" s="6" t="s">
        <v>0</v>
      </c>
      <c r="C7" s="2">
        <v>5</v>
      </c>
      <c r="D7" s="7">
        <v>5</v>
      </c>
      <c r="E7" s="7">
        <v>9</v>
      </c>
      <c r="F7" s="7">
        <v>9</v>
      </c>
      <c r="G7" s="7">
        <v>9</v>
      </c>
      <c r="H7" s="20">
        <v>1</v>
      </c>
      <c r="I7" s="7">
        <v>1</v>
      </c>
      <c r="J7" s="7">
        <v>1</v>
      </c>
      <c r="K7" s="7">
        <v>1</v>
      </c>
      <c r="L7" s="7">
        <v>3</v>
      </c>
    </row>
    <row r="8" spans="1:13" ht="16.5" customHeight="1">
      <c r="A8" s="6">
        <v>4</v>
      </c>
      <c r="B8" s="6" t="s">
        <v>33</v>
      </c>
      <c r="C8" s="2">
        <v>2595.5</v>
      </c>
      <c r="D8" s="8">
        <v>2595.5</v>
      </c>
      <c r="E8" s="8">
        <f>G8</f>
        <v>7735.2</v>
      </c>
      <c r="F8" s="8">
        <f>G8</f>
        <v>7735.2</v>
      </c>
      <c r="G8" s="8">
        <v>7735.2</v>
      </c>
      <c r="H8" s="8">
        <v>189.5</v>
      </c>
      <c r="I8" s="8">
        <v>158.5</v>
      </c>
      <c r="J8" s="8">
        <v>551.6</v>
      </c>
      <c r="K8" s="8">
        <v>43.3</v>
      </c>
      <c r="L8" s="8">
        <v>1291.4000000000001</v>
      </c>
    </row>
    <row r="9" spans="1:13" ht="16.5" customHeight="1">
      <c r="A9" s="6"/>
      <c r="B9" s="6" t="s">
        <v>524</v>
      </c>
      <c r="C9" s="2">
        <v>3</v>
      </c>
      <c r="D9" s="8">
        <v>3</v>
      </c>
      <c r="E9" s="8">
        <v>4</v>
      </c>
      <c r="F9" s="8">
        <v>4</v>
      </c>
      <c r="G9" s="8">
        <v>4</v>
      </c>
      <c r="H9" s="8"/>
      <c r="I9" s="8">
        <v>1</v>
      </c>
      <c r="J9" s="8"/>
      <c r="K9" s="8"/>
      <c r="L9" s="8"/>
    </row>
    <row r="10" spans="1:13" ht="16.5" customHeight="1">
      <c r="A10" s="6"/>
      <c r="B10" s="6" t="s">
        <v>721</v>
      </c>
      <c r="C10" s="2">
        <v>53.27</v>
      </c>
      <c r="D10" s="8"/>
      <c r="E10" s="8"/>
      <c r="F10" s="8"/>
      <c r="G10" s="8"/>
      <c r="H10" s="8">
        <v>28.7</v>
      </c>
      <c r="I10" s="8"/>
      <c r="J10" s="8"/>
      <c r="K10" s="8"/>
      <c r="L10" s="8">
        <v>51</v>
      </c>
    </row>
    <row r="11" spans="1:13" ht="16.5" customHeight="1">
      <c r="A11" s="6"/>
      <c r="B11" s="6" t="s">
        <v>722</v>
      </c>
      <c r="C11" s="2">
        <v>11.8</v>
      </c>
      <c r="D11" s="8"/>
      <c r="E11" s="8"/>
      <c r="F11" s="8"/>
      <c r="G11" s="8"/>
      <c r="H11" s="8">
        <v>8.65</v>
      </c>
      <c r="I11" s="8"/>
      <c r="J11" s="8"/>
      <c r="K11" s="8"/>
      <c r="L11" s="8">
        <v>12.8</v>
      </c>
    </row>
    <row r="12" spans="1:13" ht="16.5" customHeight="1">
      <c r="A12" s="6"/>
      <c r="B12" s="6" t="s">
        <v>723</v>
      </c>
      <c r="C12" s="3">
        <f>C10*C11*1.3</f>
        <v>817.1618000000002</v>
      </c>
      <c r="D12" s="329">
        <f>C12</f>
        <v>817.1618000000002</v>
      </c>
      <c r="E12" s="329"/>
      <c r="F12" s="329"/>
      <c r="G12" s="329"/>
      <c r="H12" s="3">
        <f>H10*H11*1.3</f>
        <v>322.73149999999998</v>
      </c>
      <c r="I12" s="329"/>
      <c r="J12" s="329"/>
      <c r="K12" s="329"/>
      <c r="L12" s="3">
        <f>L10*L11*1.3</f>
        <v>848.6400000000001</v>
      </c>
      <c r="M12" s="74"/>
    </row>
    <row r="13" spans="1:13" ht="16.5" customHeight="1">
      <c r="A13" s="6">
        <v>5</v>
      </c>
      <c r="B13" s="6" t="s">
        <v>18</v>
      </c>
      <c r="C13" s="2"/>
      <c r="D13" s="7"/>
      <c r="E13" s="7"/>
      <c r="F13" s="7"/>
      <c r="G13" s="7"/>
      <c r="H13" s="6"/>
      <c r="I13" s="7"/>
      <c r="J13" s="7"/>
      <c r="K13" s="7"/>
      <c r="L13" s="7"/>
    </row>
    <row r="14" spans="1:13" ht="16.5" customHeight="1">
      <c r="A14" s="6"/>
      <c r="B14" s="6" t="s">
        <v>19</v>
      </c>
      <c r="C14" s="4" t="s">
        <v>29</v>
      </c>
      <c r="D14" s="7" t="s">
        <v>29</v>
      </c>
      <c r="E14" s="7" t="s">
        <v>29</v>
      </c>
      <c r="F14" s="7" t="s">
        <v>29</v>
      </c>
      <c r="G14" s="7" t="s">
        <v>29</v>
      </c>
      <c r="H14" s="7" t="s">
        <v>29</v>
      </c>
      <c r="I14" s="7" t="s">
        <v>29</v>
      </c>
      <c r="J14" s="7" t="s">
        <v>29</v>
      </c>
      <c r="K14" s="7"/>
      <c r="L14" s="7" t="s">
        <v>29</v>
      </c>
    </row>
    <row r="15" spans="1:13" ht="16.5" customHeight="1">
      <c r="A15" s="6"/>
      <c r="B15" s="6" t="s">
        <v>20</v>
      </c>
      <c r="C15" s="4" t="s">
        <v>29</v>
      </c>
      <c r="D15" s="7" t="s">
        <v>29</v>
      </c>
      <c r="E15" s="7" t="s">
        <v>29</v>
      </c>
      <c r="F15" s="7" t="s">
        <v>29</v>
      </c>
      <c r="G15" s="7" t="s">
        <v>29</v>
      </c>
      <c r="H15" s="7" t="s">
        <v>29</v>
      </c>
      <c r="I15" s="7" t="s">
        <v>29</v>
      </c>
      <c r="J15" s="7" t="s">
        <v>29</v>
      </c>
      <c r="K15" s="7"/>
      <c r="L15" s="7" t="s">
        <v>29</v>
      </c>
    </row>
    <row r="16" spans="1:13" ht="16.5" customHeight="1">
      <c r="A16" s="6"/>
      <c r="B16" s="6" t="s">
        <v>38</v>
      </c>
      <c r="C16" s="4"/>
      <c r="D16" s="7"/>
      <c r="E16" s="7"/>
      <c r="F16" s="7" t="s">
        <v>29</v>
      </c>
      <c r="G16" s="7" t="s">
        <v>29</v>
      </c>
      <c r="H16" s="7"/>
      <c r="I16" s="7"/>
      <c r="J16" s="7"/>
      <c r="K16" s="7"/>
      <c r="L16" s="7"/>
    </row>
    <row r="17" spans="1:12" ht="16.5" customHeight="1">
      <c r="A17" s="6">
        <v>6</v>
      </c>
      <c r="B17" s="6" t="s">
        <v>31</v>
      </c>
      <c r="C17" s="4" t="s">
        <v>40</v>
      </c>
      <c r="D17" s="7" t="s">
        <v>30</v>
      </c>
      <c r="E17" s="7" t="str">
        <f>C17</f>
        <v>электро</v>
      </c>
      <c r="F17" s="7" t="str">
        <f>C17</f>
        <v>электро</v>
      </c>
      <c r="G17" s="7" t="str">
        <f>C17</f>
        <v>электро</v>
      </c>
      <c r="H17" s="6" t="str">
        <f>C17</f>
        <v>электро</v>
      </c>
      <c r="I17" s="7" t="str">
        <f>C17</f>
        <v>электро</v>
      </c>
      <c r="J17" s="7" t="str">
        <f>C17</f>
        <v>электро</v>
      </c>
      <c r="K17" s="7"/>
      <c r="L17" s="7" t="str">
        <f>E17</f>
        <v>электро</v>
      </c>
    </row>
    <row r="18" spans="1:12" ht="16.5" customHeight="1">
      <c r="A18" s="6">
        <v>7</v>
      </c>
      <c r="B18" s="6" t="s">
        <v>21</v>
      </c>
      <c r="C18" s="2">
        <v>1981</v>
      </c>
      <c r="D18" s="8">
        <v>1981</v>
      </c>
      <c r="E18" s="8">
        <v>1991</v>
      </c>
      <c r="F18" s="7">
        <v>1991</v>
      </c>
      <c r="G18" s="8">
        <v>1991</v>
      </c>
      <c r="H18" s="8">
        <v>1969</v>
      </c>
      <c r="I18" s="8">
        <v>1960</v>
      </c>
      <c r="J18" s="8">
        <v>1960</v>
      </c>
      <c r="K18" s="8">
        <v>1960</v>
      </c>
      <c r="L18" s="8">
        <v>1991</v>
      </c>
    </row>
    <row r="19" spans="1:12" ht="16.5" customHeight="1">
      <c r="A19" s="6"/>
      <c r="B19" s="6" t="s">
        <v>34</v>
      </c>
      <c r="C19" s="2">
        <v>31</v>
      </c>
      <c r="D19" s="8">
        <v>31</v>
      </c>
      <c r="E19" s="7">
        <f>2009-E18</f>
        <v>18</v>
      </c>
      <c r="F19" s="7">
        <v>18</v>
      </c>
      <c r="G19" s="7">
        <v>21</v>
      </c>
      <c r="H19" s="7">
        <f>2009-H18</f>
        <v>40</v>
      </c>
      <c r="I19" s="7">
        <v>54</v>
      </c>
      <c r="J19" s="7">
        <f>2009-J18</f>
        <v>49</v>
      </c>
      <c r="K19" s="7">
        <v>54</v>
      </c>
      <c r="L19" s="7">
        <v>18</v>
      </c>
    </row>
    <row r="20" spans="1:12" ht="16.5" customHeight="1">
      <c r="A20" s="6">
        <v>8</v>
      </c>
      <c r="B20" s="6" t="s">
        <v>1</v>
      </c>
      <c r="C20" s="2">
        <v>218</v>
      </c>
      <c r="D20" s="8">
        <v>218</v>
      </c>
      <c r="E20" s="8">
        <v>381</v>
      </c>
      <c r="F20" s="8">
        <v>381</v>
      </c>
      <c r="G20" s="8">
        <v>339</v>
      </c>
      <c r="H20" s="8">
        <v>11</v>
      </c>
      <c r="I20" s="7">
        <v>12</v>
      </c>
      <c r="J20" s="7">
        <v>38</v>
      </c>
      <c r="K20" s="8">
        <v>5</v>
      </c>
      <c r="L20" s="8">
        <v>66</v>
      </c>
    </row>
    <row r="21" spans="1:12" ht="16.5" customHeight="1">
      <c r="A21" s="6">
        <v>9</v>
      </c>
      <c r="B21" s="6" t="s">
        <v>2</v>
      </c>
      <c r="C21" s="2">
        <v>345</v>
      </c>
      <c r="D21" s="8">
        <v>345</v>
      </c>
      <c r="E21" s="7">
        <v>999.6</v>
      </c>
      <c r="F21" s="7">
        <v>999.6</v>
      </c>
      <c r="G21" s="7">
        <v>999.6</v>
      </c>
      <c r="H21" s="6"/>
      <c r="I21" s="7"/>
      <c r="J21" s="7"/>
      <c r="K21" s="7"/>
      <c r="L21" s="7">
        <v>166</v>
      </c>
    </row>
    <row r="22" spans="1:12" ht="16.5" customHeight="1">
      <c r="A22" s="6">
        <v>10</v>
      </c>
      <c r="B22" s="6" t="s">
        <v>3</v>
      </c>
      <c r="C22" s="2"/>
      <c r="D22" s="8"/>
      <c r="E22" s="8">
        <v>4</v>
      </c>
      <c r="F22" s="7">
        <v>4</v>
      </c>
      <c r="G22" s="8">
        <v>4</v>
      </c>
      <c r="H22" s="6"/>
      <c r="I22" s="7"/>
      <c r="J22" s="7"/>
      <c r="K22" s="7"/>
      <c r="L22" s="7"/>
    </row>
    <row r="23" spans="1:12" ht="16.5" customHeight="1">
      <c r="A23" s="6"/>
      <c r="B23" s="6" t="s">
        <v>37</v>
      </c>
      <c r="C23" s="2"/>
      <c r="D23" s="8"/>
      <c r="E23" s="8">
        <v>16</v>
      </c>
      <c r="F23" s="7">
        <v>16</v>
      </c>
      <c r="G23" s="7">
        <v>24</v>
      </c>
      <c r="H23" s="6"/>
      <c r="I23" s="7"/>
      <c r="J23" s="7"/>
      <c r="K23" s="7"/>
      <c r="L23" s="7"/>
    </row>
    <row r="24" spans="1:12" ht="16.5" customHeight="1">
      <c r="A24" s="6">
        <v>11</v>
      </c>
      <c r="B24" s="6" t="s">
        <v>4</v>
      </c>
      <c r="C24" s="4"/>
      <c r="D24" s="7"/>
      <c r="E24" s="7"/>
      <c r="F24" s="7"/>
      <c r="G24" s="7"/>
      <c r="H24" s="6"/>
      <c r="I24" s="7"/>
      <c r="J24" s="7"/>
      <c r="K24" s="7"/>
      <c r="L24" s="7"/>
    </row>
    <row r="25" spans="1:12" ht="16.5" customHeight="1">
      <c r="A25" s="6"/>
      <c r="B25" s="6" t="s">
        <v>5</v>
      </c>
      <c r="C25" s="4"/>
      <c r="D25" s="7"/>
      <c r="E25" s="7"/>
      <c r="F25" s="7"/>
      <c r="G25" s="7"/>
      <c r="H25" s="6"/>
      <c r="I25" s="7"/>
      <c r="J25" s="7"/>
      <c r="K25" s="7"/>
      <c r="L25" s="7"/>
    </row>
    <row r="26" spans="1:12" ht="16.5" customHeight="1">
      <c r="A26" s="6"/>
      <c r="B26" s="6" t="s">
        <v>6</v>
      </c>
      <c r="C26" s="2">
        <v>1300</v>
      </c>
      <c r="D26" s="8">
        <v>1300</v>
      </c>
      <c r="E26" s="7">
        <f>G26</f>
        <v>5765</v>
      </c>
      <c r="F26" s="7">
        <f>G26</f>
        <v>5765</v>
      </c>
      <c r="G26" s="7">
        <v>5765</v>
      </c>
      <c r="H26" s="6"/>
      <c r="I26" s="7"/>
      <c r="J26" s="7"/>
      <c r="K26" s="7"/>
      <c r="L26" s="7">
        <f>1300*0.5</f>
        <v>650</v>
      </c>
    </row>
    <row r="27" spans="1:12" ht="16.5" customHeight="1">
      <c r="A27" s="6"/>
      <c r="B27" s="6" t="s">
        <v>22</v>
      </c>
      <c r="C27" s="2">
        <v>670</v>
      </c>
      <c r="D27" s="8">
        <v>670</v>
      </c>
      <c r="E27" s="7">
        <f>G27</f>
        <v>1794</v>
      </c>
      <c r="F27" s="7">
        <f>G27</f>
        <v>1794</v>
      </c>
      <c r="G27" s="7">
        <v>1794</v>
      </c>
      <c r="H27" s="6"/>
      <c r="I27" s="7"/>
      <c r="J27" s="7"/>
      <c r="K27" s="7"/>
      <c r="L27" s="7">
        <f>870*0.5</f>
        <v>435</v>
      </c>
    </row>
    <row r="28" spans="1:12" ht="16.5" customHeight="1">
      <c r="A28" s="6"/>
      <c r="B28" s="6" t="s">
        <v>23</v>
      </c>
      <c r="C28" s="2">
        <v>5299</v>
      </c>
      <c r="D28" s="8">
        <v>5299</v>
      </c>
      <c r="E28" s="7"/>
      <c r="F28" s="7"/>
      <c r="G28" s="7"/>
      <c r="H28" s="6"/>
      <c r="I28" s="7"/>
      <c r="J28" s="7"/>
      <c r="K28" s="7"/>
      <c r="L28" s="7"/>
    </row>
    <row r="29" spans="1:12" ht="16.5" customHeight="1">
      <c r="A29" s="6">
        <v>12</v>
      </c>
      <c r="B29" s="6" t="s">
        <v>32</v>
      </c>
      <c r="C29" s="3"/>
      <c r="D29" s="7"/>
      <c r="E29" s="7"/>
      <c r="F29" s="7"/>
      <c r="G29" s="7"/>
      <c r="H29" s="6"/>
      <c r="I29" s="7"/>
      <c r="J29" s="7"/>
      <c r="K29" s="7"/>
      <c r="L29" s="7"/>
    </row>
    <row r="30" spans="1:12" ht="16.5" hidden="1" customHeight="1">
      <c r="A30" s="6" t="s">
        <v>8</v>
      </c>
      <c r="B30" s="6" t="s">
        <v>9</v>
      </c>
      <c r="C30" s="4"/>
      <c r="D30" s="8"/>
      <c r="E30" s="7"/>
      <c r="F30" s="7"/>
      <c r="G30" s="7"/>
      <c r="H30" s="6"/>
      <c r="I30" s="7"/>
      <c r="J30" s="7"/>
      <c r="K30" s="7"/>
      <c r="L30" s="7"/>
    </row>
    <row r="31" spans="1:12" ht="16.5" hidden="1" customHeight="1">
      <c r="A31" s="6"/>
      <c r="B31" s="6" t="s">
        <v>10</v>
      </c>
      <c r="C31" s="4"/>
      <c r="D31" s="7"/>
      <c r="E31" s="7"/>
      <c r="F31" s="7"/>
      <c r="G31" s="7"/>
      <c r="H31" s="6"/>
      <c r="I31" s="7"/>
      <c r="J31" s="7"/>
      <c r="K31" s="7"/>
      <c r="L31" s="7"/>
    </row>
    <row r="32" spans="1:12" ht="16.5" hidden="1" customHeight="1">
      <c r="A32" s="6" t="s">
        <v>11</v>
      </c>
      <c r="B32" s="6" t="s">
        <v>12</v>
      </c>
      <c r="C32" s="4"/>
      <c r="D32" s="7"/>
      <c r="E32" s="7"/>
      <c r="F32" s="7"/>
      <c r="G32" s="7"/>
      <c r="H32" s="6"/>
      <c r="I32" s="7"/>
      <c r="J32" s="7"/>
      <c r="K32" s="7"/>
      <c r="L32" s="7"/>
    </row>
    <row r="33" spans="1:12" ht="16.5" customHeight="1">
      <c r="A33" s="6">
        <v>13</v>
      </c>
      <c r="B33" s="6" t="s">
        <v>24</v>
      </c>
      <c r="C33" s="4" t="s">
        <v>25</v>
      </c>
      <c r="D33" s="7" t="s">
        <v>35</v>
      </c>
      <c r="E33" s="7" t="str">
        <f t="shared" ref="E33:L34" si="0">C33</f>
        <v>нет;</v>
      </c>
      <c r="F33" s="7" t="str">
        <f t="shared" si="0"/>
        <v>нет</v>
      </c>
      <c r="G33" s="7" t="str">
        <f t="shared" si="0"/>
        <v>нет;</v>
      </c>
      <c r="H33" s="7" t="str">
        <f t="shared" si="0"/>
        <v>нет</v>
      </c>
      <c r="I33" s="7" t="str">
        <f t="shared" si="0"/>
        <v>нет;</v>
      </c>
      <c r="J33" s="7" t="str">
        <f t="shared" si="0"/>
        <v>нет</v>
      </c>
      <c r="K33" s="7" t="str">
        <f t="shared" si="0"/>
        <v>нет;</v>
      </c>
      <c r="L33" s="7" t="str">
        <f t="shared" si="0"/>
        <v>нет</v>
      </c>
    </row>
    <row r="34" spans="1:12" ht="16.5" customHeight="1">
      <c r="A34" s="6">
        <v>14</v>
      </c>
      <c r="B34" s="6" t="s">
        <v>26</v>
      </c>
      <c r="C34" s="4" t="s">
        <v>43</v>
      </c>
      <c r="D34" s="7" t="str">
        <f>C34</f>
        <v xml:space="preserve"> круглосут</v>
      </c>
      <c r="E34" s="7" t="str">
        <f t="shared" si="0"/>
        <v xml:space="preserve"> круглосут</v>
      </c>
      <c r="F34" s="7" t="str">
        <f t="shared" si="0"/>
        <v xml:space="preserve"> круглосут</v>
      </c>
      <c r="G34" s="7" t="str">
        <f t="shared" si="0"/>
        <v xml:space="preserve"> круглосут</v>
      </c>
      <c r="H34" s="7" t="str">
        <f t="shared" si="0"/>
        <v xml:space="preserve"> круглосут</v>
      </c>
      <c r="I34" s="7" t="str">
        <f t="shared" si="0"/>
        <v xml:space="preserve"> круглосут</v>
      </c>
      <c r="J34" s="7" t="str">
        <f t="shared" si="0"/>
        <v xml:space="preserve"> круглосут</v>
      </c>
      <c r="K34" s="7" t="str">
        <f t="shared" si="0"/>
        <v xml:space="preserve"> круглосут</v>
      </c>
      <c r="L34" s="7" t="str">
        <f t="shared" si="0"/>
        <v xml:space="preserve"> круглосут</v>
      </c>
    </row>
    <row r="35" spans="1:12" ht="16.5" customHeight="1">
      <c r="C35" s="1"/>
      <c r="D35" s="1"/>
    </row>
    <row r="36" spans="1:12" ht="16.5" customHeight="1">
      <c r="C36" s="1"/>
      <c r="D36" s="1"/>
    </row>
    <row r="37" spans="1:12" ht="16.5" customHeight="1">
      <c r="C37" s="1"/>
      <c r="D37" s="1"/>
    </row>
    <row r="38" spans="1:12" ht="16.5" customHeight="1">
      <c r="A38" t="s">
        <v>51</v>
      </c>
      <c r="B38" t="s">
        <v>50</v>
      </c>
      <c r="C38" s="1"/>
      <c r="D38" s="1"/>
    </row>
    <row r="39" spans="1:12">
      <c r="B39" t="s">
        <v>47</v>
      </c>
      <c r="C39">
        <v>1</v>
      </c>
      <c r="D39">
        <v>2</v>
      </c>
      <c r="E39">
        <v>3</v>
      </c>
      <c r="F39">
        <v>4</v>
      </c>
      <c r="G39">
        <v>5</v>
      </c>
      <c r="H39">
        <v>6</v>
      </c>
    </row>
    <row r="40" spans="1:12">
      <c r="B40" t="s">
        <v>48</v>
      </c>
      <c r="C40" s="21">
        <v>1</v>
      </c>
      <c r="D40" s="21">
        <v>1.36</v>
      </c>
      <c r="E40" s="21">
        <v>1.59</v>
      </c>
      <c r="F40" s="21">
        <v>1.73</v>
      </c>
      <c r="G40" s="21">
        <v>1.82</v>
      </c>
      <c r="H40" s="21">
        <v>2</v>
      </c>
    </row>
    <row r="41" spans="1:12">
      <c r="A41" t="s">
        <v>52</v>
      </c>
      <c r="B41" t="s">
        <v>577</v>
      </c>
      <c r="D41" s="1"/>
      <c r="I41" s="1">
        <v>1987</v>
      </c>
      <c r="J41" s="199" t="s">
        <v>578</v>
      </c>
    </row>
    <row r="42" spans="1:12">
      <c r="B42" t="s">
        <v>579</v>
      </c>
      <c r="D42" s="1"/>
      <c r="I42" s="1">
        <v>165.6</v>
      </c>
      <c r="J42" s="199" t="s">
        <v>578</v>
      </c>
    </row>
    <row r="43" spans="1:12">
      <c r="B43" t="s">
        <v>580</v>
      </c>
      <c r="C43" s="1"/>
      <c r="D43" s="1"/>
      <c r="I43" s="1">
        <v>249</v>
      </c>
      <c r="J43" s="199" t="s">
        <v>581</v>
      </c>
    </row>
    <row r="44" spans="1:12" ht="13.5" thickBot="1">
      <c r="A44" t="s">
        <v>53</v>
      </c>
      <c r="E44"/>
      <c r="F44"/>
      <c r="G44"/>
      <c r="I44"/>
      <c r="J44"/>
      <c r="K44"/>
    </row>
    <row r="45" spans="1:12">
      <c r="A45" s="29"/>
      <c r="B45" s="28" t="s">
        <v>63</v>
      </c>
      <c r="C45" s="29" t="s">
        <v>54</v>
      </c>
      <c r="D45" s="28"/>
      <c r="E45" s="15" t="s">
        <v>58</v>
      </c>
      <c r="F45" s="29" t="s">
        <v>55</v>
      </c>
      <c r="G45" s="28"/>
      <c r="H45" s="29" t="s">
        <v>56</v>
      </c>
      <c r="I45" s="34"/>
      <c r="J45" s="34"/>
      <c r="K45" s="28"/>
    </row>
    <row r="46" spans="1:12" ht="13.5" thickBot="1">
      <c r="A46" s="31"/>
      <c r="B46" s="32"/>
      <c r="C46" s="31" t="s">
        <v>601</v>
      </c>
      <c r="D46" s="32"/>
      <c r="E46" s="11" t="s">
        <v>59</v>
      </c>
      <c r="F46" s="31" t="s">
        <v>719</v>
      </c>
      <c r="G46" s="33"/>
      <c r="H46" s="31"/>
      <c r="I46" s="35"/>
      <c r="J46" s="35"/>
      <c r="K46" s="32"/>
    </row>
    <row r="47" spans="1:12" ht="72" customHeight="1">
      <c r="A47" s="26"/>
      <c r="B47" s="26" t="s">
        <v>57</v>
      </c>
      <c r="C47" s="26">
        <v>3817.02</v>
      </c>
      <c r="D47" s="26"/>
      <c r="E47" s="276">
        <v>5.6000000000000001E-2</v>
      </c>
      <c r="F47" s="47">
        <v>4030</v>
      </c>
      <c r="G47" s="36"/>
      <c r="H47" s="378" t="s">
        <v>603</v>
      </c>
      <c r="I47" s="378"/>
      <c r="J47" s="378"/>
      <c r="K47" s="378"/>
    </row>
    <row r="48" spans="1:12" ht="20.25" customHeight="1">
      <c r="A48" s="26"/>
      <c r="B48" s="26" t="s">
        <v>60</v>
      </c>
      <c r="C48" s="37">
        <v>0.4</v>
      </c>
      <c r="D48" s="26"/>
      <c r="E48" s="36"/>
      <c r="F48" s="37">
        <f>C48</f>
        <v>0.4</v>
      </c>
      <c r="G48" s="36"/>
      <c r="H48" s="277"/>
      <c r="J48" s="26"/>
      <c r="K48" s="26"/>
    </row>
    <row r="49" spans="1:11" ht="20.25" customHeight="1">
      <c r="A49" s="26"/>
      <c r="B49" s="26" t="s">
        <v>61</v>
      </c>
      <c r="C49" s="37">
        <v>0.25</v>
      </c>
      <c r="D49" s="26"/>
      <c r="E49" s="36"/>
      <c r="F49" s="37">
        <f>C49</f>
        <v>0.25</v>
      </c>
      <c r="G49" s="36"/>
      <c r="H49" s="277"/>
      <c r="I49" s="26"/>
      <c r="J49" s="26"/>
      <c r="K49" s="26"/>
    </row>
    <row r="50" spans="1:11" ht="20.25" customHeight="1">
      <c r="A50" s="26"/>
      <c r="B50" s="46" t="s">
        <v>66</v>
      </c>
      <c r="C50" s="37"/>
      <c r="D50" s="26"/>
      <c r="E50" s="36"/>
      <c r="F50" s="47">
        <f>F47*(1+F48)*(1+F49)/I42</f>
        <v>42.587560386473434</v>
      </c>
      <c r="G50" s="36"/>
      <c r="H50" s="277"/>
      <c r="J50" s="26"/>
      <c r="K50" s="26"/>
    </row>
    <row r="51" spans="1:11" ht="20.25" customHeight="1">
      <c r="A51" s="26"/>
      <c r="B51" s="26" t="s">
        <v>62</v>
      </c>
      <c r="C51" s="38">
        <v>0.30199999999999999</v>
      </c>
      <c r="D51" s="26"/>
      <c r="E51" s="36"/>
      <c r="F51" s="40">
        <v>0.30199999999999999</v>
      </c>
      <c r="G51" s="36"/>
      <c r="H51" s="277"/>
      <c r="I51" s="26"/>
      <c r="J51" s="26"/>
      <c r="K51" s="26"/>
    </row>
    <row r="52" spans="1:11" ht="20.25" customHeight="1">
      <c r="B52" s="46" t="s">
        <v>65</v>
      </c>
      <c r="C52" s="39">
        <v>0.89800000000000002</v>
      </c>
      <c r="F52" s="40">
        <f>C52</f>
        <v>0.89800000000000002</v>
      </c>
      <c r="H52" s="277"/>
      <c r="I52" s="26" t="s">
        <v>602</v>
      </c>
      <c r="J52"/>
      <c r="K52"/>
    </row>
    <row r="53" spans="1:11">
      <c r="A53" s="26"/>
      <c r="B53" s="26" t="s">
        <v>13</v>
      </c>
      <c r="E53"/>
      <c r="F53"/>
      <c r="G53"/>
      <c r="I53"/>
      <c r="J53"/>
      <c r="K53"/>
    </row>
    <row r="54" spans="1:11">
      <c r="A54" s="26"/>
      <c r="B54" s="26" t="s">
        <v>14</v>
      </c>
      <c r="C54">
        <v>1.1200000000000001</v>
      </c>
      <c r="E54"/>
      <c r="F54">
        <v>1.1200000000000001</v>
      </c>
      <c r="G54"/>
      <c r="I54"/>
      <c r="J54"/>
      <c r="K54"/>
    </row>
    <row r="55" spans="1:11" ht="13.5" customHeight="1">
      <c r="A55" s="26"/>
      <c r="B55" s="26" t="s">
        <v>15</v>
      </c>
      <c r="C55">
        <v>1.1399999999999999</v>
      </c>
      <c r="E55"/>
      <c r="F55">
        <v>1.1399999999999999</v>
      </c>
      <c r="G55"/>
      <c r="I55"/>
      <c r="J55"/>
      <c r="K55"/>
    </row>
    <row r="56" spans="1:11">
      <c r="A56" s="26"/>
      <c r="B56" s="26"/>
      <c r="C56" s="1"/>
      <c r="D56" s="1"/>
    </row>
    <row r="57" spans="1:11">
      <c r="C57" s="1"/>
      <c r="D57" s="1"/>
    </row>
    <row r="58" spans="1:11">
      <c r="C58" s="1"/>
      <c r="D58" s="1"/>
    </row>
    <row r="59" spans="1:11">
      <c r="C59" s="1"/>
      <c r="D59" s="1"/>
    </row>
    <row r="60" spans="1:11">
      <c r="C60" s="1"/>
      <c r="D60" s="1"/>
    </row>
    <row r="61" spans="1:11">
      <c r="C61" s="1"/>
      <c r="D61" s="1"/>
    </row>
    <row r="62" spans="1:11">
      <c r="C62" s="1"/>
      <c r="D62" s="1"/>
    </row>
  </sheetData>
  <mergeCells count="3">
    <mergeCell ref="B1:E1"/>
    <mergeCell ref="C2:K2"/>
    <mergeCell ref="H47:K47"/>
  </mergeCells>
  <phoneticPr fontId="5" type="noConversion"/>
  <pageMargins left="0.35" right="0.28999999999999998" top="0.38" bottom="0.22" header="0.28000000000000003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H20" sqref="H20"/>
    </sheetView>
  </sheetViews>
  <sheetFormatPr defaultRowHeight="12.75"/>
  <cols>
    <col min="1" max="1" width="6.42578125" customWidth="1"/>
    <col min="2" max="2" width="47.7109375" bestFit="1" customWidth="1"/>
    <col min="3" max="3" width="6.42578125" bestFit="1" customWidth="1"/>
    <col min="4" max="4" width="9.5703125" customWidth="1"/>
    <col min="5" max="5" width="9.85546875" customWidth="1"/>
    <col min="6" max="6" width="11.5703125" bestFit="1" customWidth="1"/>
    <col min="12" max="12" width="10.5703125" bestFit="1" customWidth="1"/>
  </cols>
  <sheetData>
    <row r="1" spans="1:12">
      <c r="D1" t="s">
        <v>676</v>
      </c>
    </row>
    <row r="2" spans="1:12" ht="15">
      <c r="A2" s="303" t="s">
        <v>745</v>
      </c>
    </row>
    <row r="3" spans="1:12" ht="13.5" thickBot="1"/>
    <row r="4" spans="1:12" s="303" customFormat="1" ht="15.75" thickBot="1">
      <c r="A4" s="304"/>
      <c r="B4" s="304"/>
      <c r="C4" s="304"/>
      <c r="D4" s="373" t="s">
        <v>696</v>
      </c>
      <c r="E4" s="371"/>
      <c r="F4" s="371"/>
      <c r="G4" s="371"/>
      <c r="H4" s="371"/>
      <c r="I4" s="371"/>
      <c r="J4" s="371"/>
      <c r="K4" s="371"/>
      <c r="L4" s="372"/>
    </row>
    <row r="5" spans="1:12" s="303" customFormat="1" ht="15.75" thickBot="1">
      <c r="A5" s="305"/>
      <c r="B5" s="305"/>
      <c r="C5" s="305"/>
      <c r="D5" s="306" t="s">
        <v>666</v>
      </c>
      <c r="E5" s="306" t="s">
        <v>667</v>
      </c>
      <c r="F5" s="306" t="s">
        <v>675</v>
      </c>
      <c r="G5" s="306" t="s">
        <v>694</v>
      </c>
      <c r="H5" s="306" t="s">
        <v>695</v>
      </c>
      <c r="I5" s="306" t="s">
        <v>697</v>
      </c>
      <c r="J5" s="306" t="s">
        <v>698</v>
      </c>
      <c r="K5" s="306" t="s">
        <v>731</v>
      </c>
      <c r="L5" s="306" t="s">
        <v>732</v>
      </c>
    </row>
    <row r="6" spans="1:12" s="303" customFormat="1" ht="15.75" thickBot="1">
      <c r="A6" s="307"/>
      <c r="B6" s="307" t="s">
        <v>677</v>
      </c>
      <c r="C6" s="307"/>
      <c r="D6" s="308"/>
      <c r="E6" s="308"/>
      <c r="F6" s="308"/>
      <c r="G6" s="308"/>
      <c r="H6" s="308"/>
    </row>
    <row r="7" spans="1:12" ht="15.75" thickBot="1">
      <c r="A7" s="309" t="s">
        <v>585</v>
      </c>
      <c r="B7" s="310" t="s">
        <v>678</v>
      </c>
      <c r="C7" s="311" t="s">
        <v>679</v>
      </c>
      <c r="D7" s="311">
        <f>[1]Лист1!$D$7</f>
        <v>7</v>
      </c>
      <c r="E7" s="311">
        <v>54</v>
      </c>
      <c r="F7" s="311">
        <v>111</v>
      </c>
      <c r="G7" s="311">
        <v>50</v>
      </c>
      <c r="H7" s="311">
        <v>44</v>
      </c>
      <c r="I7" s="311">
        <v>26</v>
      </c>
      <c r="J7" s="311">
        <v>6</v>
      </c>
      <c r="K7" s="311">
        <v>52</v>
      </c>
      <c r="L7" s="311">
        <v>4</v>
      </c>
    </row>
    <row r="8" spans="1:12" ht="15.75" thickBot="1">
      <c r="A8" s="312"/>
      <c r="B8" s="312"/>
      <c r="C8" s="313" t="s">
        <v>680</v>
      </c>
      <c r="D8" s="311">
        <f>[1]Лист1!$D$8</f>
        <v>27</v>
      </c>
      <c r="E8" s="313">
        <v>112.5</v>
      </c>
      <c r="F8" s="313">
        <v>140.69999999999999</v>
      </c>
      <c r="G8" s="313">
        <v>138.964</v>
      </c>
      <c r="H8" s="313">
        <v>79</v>
      </c>
      <c r="I8" s="311">
        <v>98.4</v>
      </c>
      <c r="J8" s="311">
        <v>42.5</v>
      </c>
      <c r="K8" s="311">
        <v>62.7</v>
      </c>
      <c r="L8" s="311">
        <v>10.8</v>
      </c>
    </row>
    <row r="9" spans="1:12" ht="15.75" thickBot="1">
      <c r="A9" s="314" t="s">
        <v>681</v>
      </c>
      <c r="B9" s="314" t="s">
        <v>682</v>
      </c>
      <c r="C9" s="313" t="s">
        <v>679</v>
      </c>
      <c r="D9" s="311">
        <f>[1]Лист1!$D$9</f>
        <v>6</v>
      </c>
      <c r="E9" s="313">
        <v>50</v>
      </c>
      <c r="F9" s="313">
        <v>79</v>
      </c>
      <c r="G9" s="313">
        <v>48</v>
      </c>
      <c r="H9" s="313">
        <v>44</v>
      </c>
      <c r="I9" s="311">
        <v>24</v>
      </c>
      <c r="J9" s="311">
        <v>1</v>
      </c>
      <c r="K9" s="311">
        <v>21</v>
      </c>
      <c r="L9" s="311">
        <v>3</v>
      </c>
    </row>
    <row r="10" spans="1:12" ht="15.75" thickBot="1">
      <c r="A10" s="312"/>
      <c r="B10" s="312"/>
      <c r="C10" s="313" t="s">
        <v>680</v>
      </c>
      <c r="D10" s="311">
        <f>[1]Лист1!$D$10</f>
        <v>24.2</v>
      </c>
      <c r="E10" s="313">
        <v>107.7</v>
      </c>
      <c r="F10" s="313">
        <v>128.69999999999999</v>
      </c>
      <c r="G10" s="313">
        <v>133.56800000000001</v>
      </c>
      <c r="H10" s="313">
        <v>79</v>
      </c>
      <c r="I10" s="311">
        <v>97</v>
      </c>
      <c r="J10" s="311">
        <v>8.5</v>
      </c>
      <c r="K10" s="311">
        <v>35.299999999999997</v>
      </c>
      <c r="L10" s="311">
        <v>9.5</v>
      </c>
    </row>
    <row r="11" spans="1:12" ht="15.75" thickBot="1">
      <c r="A11" s="313">
        <v>2</v>
      </c>
      <c r="B11" s="313" t="s">
        <v>683</v>
      </c>
      <c r="C11" s="313" t="s">
        <v>658</v>
      </c>
      <c r="D11" s="311">
        <f>[1]Лист1!$D$11</f>
        <v>10</v>
      </c>
      <c r="E11" s="313">
        <v>46</v>
      </c>
      <c r="F11" s="313">
        <v>68</v>
      </c>
      <c r="G11" s="313">
        <v>57</v>
      </c>
      <c r="H11" s="313">
        <v>59</v>
      </c>
      <c r="I11" s="311">
        <v>38</v>
      </c>
      <c r="J11" s="311">
        <v>38</v>
      </c>
      <c r="K11" s="311">
        <v>18</v>
      </c>
      <c r="L11" s="311">
        <v>59</v>
      </c>
    </row>
    <row r="12" spans="1:12" ht="15.75" thickBot="1">
      <c r="A12" s="313"/>
      <c r="B12" s="313" t="s">
        <v>684</v>
      </c>
      <c r="C12" s="313" t="s">
        <v>658</v>
      </c>
      <c r="D12" s="311">
        <f>[1]Лист1!$D$12</f>
        <v>8</v>
      </c>
      <c r="E12" s="313">
        <v>39</v>
      </c>
      <c r="F12" s="313">
        <v>51</v>
      </c>
      <c r="G12" s="313">
        <v>46</v>
      </c>
      <c r="H12" s="313">
        <v>47</v>
      </c>
      <c r="I12" s="311">
        <v>23</v>
      </c>
      <c r="J12" s="311">
        <v>25</v>
      </c>
      <c r="K12" s="311">
        <v>16</v>
      </c>
      <c r="L12" s="311">
        <v>48</v>
      </c>
    </row>
    <row r="13" spans="1:12" ht="15.75" thickBot="1">
      <c r="A13" s="313">
        <v>3</v>
      </c>
      <c r="B13" s="313" t="s">
        <v>57</v>
      </c>
      <c r="C13" s="313" t="s">
        <v>239</v>
      </c>
      <c r="D13" s="311">
        <f>[1]Лист1!$D$13</f>
        <v>4100</v>
      </c>
      <c r="E13" s="313">
        <v>6100</v>
      </c>
      <c r="F13" s="313">
        <v>4756</v>
      </c>
      <c r="G13" s="313"/>
      <c r="H13" s="313">
        <v>3110</v>
      </c>
      <c r="I13" s="311">
        <v>4426</v>
      </c>
      <c r="J13" s="311">
        <v>4242</v>
      </c>
      <c r="K13" s="311">
        <v>3650</v>
      </c>
      <c r="L13" s="311">
        <v>3650</v>
      </c>
    </row>
    <row r="14" spans="1:12" ht="15.75" thickBot="1">
      <c r="A14" s="313">
        <v>4</v>
      </c>
      <c r="B14" s="313" t="s">
        <v>685</v>
      </c>
      <c r="C14" s="313" t="s">
        <v>501</v>
      </c>
      <c r="D14" s="311">
        <f>[1]Лист1!$D$14</f>
        <v>0</v>
      </c>
      <c r="E14" s="313">
        <v>40</v>
      </c>
      <c r="F14" s="313">
        <v>60</v>
      </c>
      <c r="G14" s="313">
        <v>40</v>
      </c>
      <c r="H14" s="313">
        <v>40</v>
      </c>
      <c r="I14" s="311">
        <v>25</v>
      </c>
      <c r="J14" s="311">
        <v>25</v>
      </c>
      <c r="K14" s="311">
        <v>40</v>
      </c>
      <c r="L14" s="311">
        <v>40</v>
      </c>
    </row>
    <row r="15" spans="1:12" ht="15.75" thickBot="1">
      <c r="A15" s="313">
        <v>5</v>
      </c>
      <c r="B15" s="313" t="s">
        <v>686</v>
      </c>
      <c r="C15" s="313" t="s">
        <v>501</v>
      </c>
      <c r="D15" s="311">
        <f>[1]Лист1!$D$15</f>
        <v>20.2</v>
      </c>
      <c r="E15" s="313">
        <v>20.3</v>
      </c>
      <c r="F15" s="313">
        <v>36.1</v>
      </c>
      <c r="G15" s="313">
        <v>33.200000000000003</v>
      </c>
      <c r="H15" s="313">
        <v>30.2</v>
      </c>
      <c r="I15" s="311">
        <v>20.2</v>
      </c>
      <c r="J15" s="311">
        <v>20.2</v>
      </c>
      <c r="K15" s="311">
        <v>20.2</v>
      </c>
      <c r="L15" s="311">
        <v>20.2</v>
      </c>
    </row>
    <row r="16" spans="1:12" ht="15.75" thickBot="1">
      <c r="A16" s="313">
        <v>6</v>
      </c>
      <c r="B16" s="313" t="s">
        <v>65</v>
      </c>
      <c r="C16" s="313" t="s">
        <v>501</v>
      </c>
      <c r="D16" s="311">
        <f>[1]Лист1!$D$16</f>
        <v>85.4</v>
      </c>
      <c r="E16" s="313">
        <v>91</v>
      </c>
      <c r="F16" s="313">
        <v>85</v>
      </c>
      <c r="G16" s="313">
        <v>89.8</v>
      </c>
      <c r="H16" s="313">
        <v>89.8</v>
      </c>
      <c r="I16" s="311">
        <v>98.1</v>
      </c>
      <c r="J16" s="311">
        <v>94.1</v>
      </c>
      <c r="K16" s="311">
        <v>85.04</v>
      </c>
      <c r="L16" s="311">
        <v>75</v>
      </c>
    </row>
    <row r="17" spans="1:12" ht="15.75" thickBot="1">
      <c r="A17" s="313">
        <v>7</v>
      </c>
      <c r="B17" s="313" t="s">
        <v>687</v>
      </c>
      <c r="C17" s="313" t="s">
        <v>688</v>
      </c>
      <c r="D17" s="311">
        <f>[1]Лист1!$D$17</f>
        <v>3348.7</v>
      </c>
      <c r="E17" s="313">
        <v>14894</v>
      </c>
      <c r="F17" s="313">
        <v>21063.599999999999</v>
      </c>
      <c r="G17" s="313">
        <v>20092.900000000001</v>
      </c>
      <c r="H17" s="313">
        <v>10351.9</v>
      </c>
      <c r="I17" s="311">
        <v>18221.8</v>
      </c>
      <c r="J17" s="311">
        <v>16020.3</v>
      </c>
      <c r="K17" s="311">
        <v>21360.7</v>
      </c>
      <c r="L17" s="311">
        <v>12962.7</v>
      </c>
    </row>
    <row r="18" spans="1:12" ht="15.75" thickBot="1">
      <c r="A18" s="315" t="s">
        <v>689</v>
      </c>
      <c r="B18" s="313" t="s">
        <v>690</v>
      </c>
      <c r="C18" s="313" t="s">
        <v>688</v>
      </c>
      <c r="D18" s="311">
        <f>[1]Лист1!$D$18</f>
        <v>1045.5</v>
      </c>
      <c r="E18" s="313">
        <v>5632</v>
      </c>
      <c r="F18" s="313">
        <v>6797.6</v>
      </c>
      <c r="G18" s="313">
        <v>6590.3</v>
      </c>
      <c r="H18" s="313">
        <v>3457.9</v>
      </c>
      <c r="I18" s="311">
        <v>3798.4</v>
      </c>
      <c r="J18" s="311">
        <v>3387</v>
      </c>
      <c r="K18" s="311">
        <v>2371.6</v>
      </c>
      <c r="L18" s="311">
        <v>5187.1000000000004</v>
      </c>
    </row>
    <row r="19" spans="1:12" ht="15.75" thickBot="1">
      <c r="A19" s="307"/>
      <c r="B19" s="307" t="s">
        <v>691</v>
      </c>
      <c r="C19" s="307"/>
      <c r="D19" s="308"/>
      <c r="E19" s="308"/>
      <c r="F19" s="308"/>
      <c r="G19" s="308"/>
      <c r="H19" s="308"/>
    </row>
    <row r="20" spans="1:12" ht="15.75" thickBot="1">
      <c r="A20" s="309" t="s">
        <v>585</v>
      </c>
      <c r="B20" s="310" t="s">
        <v>678</v>
      </c>
      <c r="C20" s="311" t="s">
        <v>679</v>
      </c>
      <c r="D20" s="311">
        <f>[1]Лист1!$E$7</f>
        <v>7</v>
      </c>
      <c r="E20" s="310">
        <f>E7</f>
        <v>54</v>
      </c>
      <c r="F20" s="310">
        <v>112</v>
      </c>
      <c r="G20" s="310">
        <v>50</v>
      </c>
      <c r="H20" s="310">
        <v>40</v>
      </c>
      <c r="I20" s="310">
        <v>24</v>
      </c>
      <c r="J20" s="310">
        <v>6</v>
      </c>
      <c r="K20" s="310">
        <v>53</v>
      </c>
      <c r="L20" s="310">
        <v>4</v>
      </c>
    </row>
    <row r="21" spans="1:12" ht="15.75" thickBot="1">
      <c r="A21" s="312"/>
      <c r="B21" s="312"/>
      <c r="C21" s="313" t="s">
        <v>692</v>
      </c>
      <c r="D21" s="311">
        <f>[1]Лист1!$E$8</f>
        <v>27</v>
      </c>
      <c r="E21" s="313">
        <f t="shared" ref="E21:E28" si="0">E8</f>
        <v>112.5</v>
      </c>
      <c r="F21" s="313">
        <v>134.80000000000001</v>
      </c>
      <c r="G21" s="313">
        <v>138.964</v>
      </c>
      <c r="H21" s="313">
        <v>71.5</v>
      </c>
      <c r="I21" s="313">
        <v>98.8</v>
      </c>
      <c r="J21" s="313">
        <v>42.5</v>
      </c>
      <c r="K21" s="313">
        <v>65.400000000000006</v>
      </c>
      <c r="L21" s="313">
        <v>10.8</v>
      </c>
    </row>
    <row r="22" spans="1:12" ht="15.75" thickBot="1">
      <c r="A22" s="314" t="s">
        <v>681</v>
      </c>
      <c r="B22" s="314" t="s">
        <v>682</v>
      </c>
      <c r="C22" s="313" t="s">
        <v>679</v>
      </c>
      <c r="D22" s="311">
        <f>[1]Лист1!$E$9</f>
        <v>6</v>
      </c>
      <c r="E22" s="311">
        <f t="shared" si="0"/>
        <v>50</v>
      </c>
      <c r="F22" s="311">
        <v>79</v>
      </c>
      <c r="G22" s="311">
        <v>48</v>
      </c>
      <c r="H22" s="311">
        <v>40</v>
      </c>
      <c r="I22" s="311">
        <v>9</v>
      </c>
      <c r="J22" s="311">
        <v>1</v>
      </c>
      <c r="K22" s="311">
        <v>22</v>
      </c>
      <c r="L22" s="311">
        <v>3</v>
      </c>
    </row>
    <row r="23" spans="1:12" ht="15.75" thickBot="1">
      <c r="A23" s="312"/>
      <c r="B23" s="312"/>
      <c r="C23" s="313" t="s">
        <v>692</v>
      </c>
      <c r="D23" s="311">
        <f>[1]Лист1!$E$10</f>
        <v>24.2</v>
      </c>
      <c r="E23" s="311">
        <f t="shared" si="0"/>
        <v>107.7</v>
      </c>
      <c r="F23" s="311">
        <v>121.8</v>
      </c>
      <c r="G23" s="311">
        <v>133.56800000000001</v>
      </c>
      <c r="H23" s="311">
        <v>71.5</v>
      </c>
      <c r="I23" s="311">
        <v>39.299999999999997</v>
      </c>
      <c r="J23" s="311">
        <v>5.8</v>
      </c>
      <c r="K23" s="311">
        <v>35.6</v>
      </c>
      <c r="L23" s="311">
        <v>9.5</v>
      </c>
    </row>
    <row r="24" spans="1:12" ht="15.75" thickBot="1">
      <c r="A24" s="313">
        <v>2</v>
      </c>
      <c r="B24" s="313" t="s">
        <v>683</v>
      </c>
      <c r="C24" s="313" t="s">
        <v>658</v>
      </c>
      <c r="D24" s="311">
        <f>[1]Лист1!$E$11</f>
        <v>11</v>
      </c>
      <c r="E24" s="311">
        <f t="shared" si="0"/>
        <v>46</v>
      </c>
      <c r="F24" s="311">
        <v>61</v>
      </c>
      <c r="G24" s="311">
        <v>57</v>
      </c>
      <c r="H24" s="311">
        <v>60</v>
      </c>
      <c r="I24" s="311">
        <v>37</v>
      </c>
      <c r="J24" s="311">
        <v>38</v>
      </c>
      <c r="K24" s="311">
        <v>33</v>
      </c>
      <c r="L24" s="311">
        <v>49</v>
      </c>
    </row>
    <row r="25" spans="1:12" ht="15.75" thickBot="1">
      <c r="A25" s="313"/>
      <c r="B25" s="313" t="s">
        <v>684</v>
      </c>
      <c r="C25" s="313" t="s">
        <v>658</v>
      </c>
      <c r="D25" s="311">
        <f>[1]Лист1!$E$12</f>
        <v>9</v>
      </c>
      <c r="E25" s="311">
        <f t="shared" si="0"/>
        <v>39</v>
      </c>
      <c r="F25" s="311">
        <v>44</v>
      </c>
      <c r="G25" s="311">
        <v>46</v>
      </c>
      <c r="H25" s="311">
        <v>48</v>
      </c>
      <c r="I25" s="311">
        <v>24</v>
      </c>
      <c r="J25" s="311">
        <v>25</v>
      </c>
      <c r="K25" s="311">
        <v>26</v>
      </c>
      <c r="L25" s="311">
        <v>39</v>
      </c>
    </row>
    <row r="26" spans="1:12" ht="15.75" thickBot="1">
      <c r="A26" s="313">
        <v>3</v>
      </c>
      <c r="B26" s="313" t="s">
        <v>57</v>
      </c>
      <c r="C26" s="313" t="s">
        <v>239</v>
      </c>
      <c r="D26" s="311">
        <f>[1]Лист1!$E$13</f>
        <v>4500</v>
      </c>
      <c r="E26" s="311">
        <v>6300</v>
      </c>
      <c r="F26" s="311">
        <v>5232</v>
      </c>
      <c r="G26" s="311"/>
      <c r="H26" s="311">
        <v>3110</v>
      </c>
      <c r="I26" s="311">
        <v>4426</v>
      </c>
      <c r="J26" s="311">
        <v>4242</v>
      </c>
      <c r="K26" s="311">
        <v>3650</v>
      </c>
      <c r="L26" s="311">
        <v>3650</v>
      </c>
    </row>
    <row r="27" spans="1:12" ht="15.75" thickBot="1">
      <c r="A27" s="313">
        <v>4</v>
      </c>
      <c r="B27" s="313" t="s">
        <v>685</v>
      </c>
      <c r="C27" s="313" t="s">
        <v>501</v>
      </c>
      <c r="D27" s="311">
        <f>[1]Лист1!$E$14</f>
        <v>0</v>
      </c>
      <c r="E27" s="311">
        <f t="shared" si="0"/>
        <v>40</v>
      </c>
      <c r="F27" s="311">
        <v>60</v>
      </c>
      <c r="G27" s="311">
        <v>40</v>
      </c>
      <c r="H27" s="311">
        <v>40</v>
      </c>
      <c r="I27" s="311">
        <v>25</v>
      </c>
      <c r="J27" s="311">
        <v>25</v>
      </c>
      <c r="K27" s="311">
        <v>40</v>
      </c>
      <c r="L27" s="311">
        <v>40</v>
      </c>
    </row>
    <row r="28" spans="1:12" ht="15.75" thickBot="1">
      <c r="A28" s="313">
        <v>5</v>
      </c>
      <c r="B28" s="313" t="s">
        <v>686</v>
      </c>
      <c r="C28" s="313" t="s">
        <v>501</v>
      </c>
      <c r="D28" s="311">
        <f>[1]Лист1!$E$15</f>
        <v>20.2</v>
      </c>
      <c r="E28" s="311">
        <f t="shared" si="0"/>
        <v>20.3</v>
      </c>
      <c r="F28" s="311">
        <v>36.1</v>
      </c>
      <c r="G28" s="311">
        <v>33.200000000000003</v>
      </c>
      <c r="H28" s="311">
        <v>30.2</v>
      </c>
      <c r="I28" s="311">
        <v>20.2</v>
      </c>
      <c r="J28" s="311">
        <v>20.2</v>
      </c>
      <c r="K28" s="311">
        <v>20.2</v>
      </c>
      <c r="L28" s="311">
        <v>20.2</v>
      </c>
    </row>
    <row r="29" spans="1:12" ht="15.75" thickBot="1">
      <c r="A29" s="313">
        <v>6</v>
      </c>
      <c r="B29" s="313" t="s">
        <v>65</v>
      </c>
      <c r="C29" s="313" t="s">
        <v>501</v>
      </c>
      <c r="D29" s="311">
        <f>[1]Лист1!$E$16</f>
        <v>75.099999999999994</v>
      </c>
      <c r="E29" s="311">
        <v>89</v>
      </c>
      <c r="F29" s="311">
        <v>86</v>
      </c>
      <c r="G29" s="311">
        <v>90.3</v>
      </c>
      <c r="H29" s="311">
        <v>89.8</v>
      </c>
      <c r="I29" s="311">
        <v>98</v>
      </c>
      <c r="J29" s="311">
        <v>96</v>
      </c>
      <c r="K29" s="311">
        <v>87.8</v>
      </c>
      <c r="L29" s="311">
        <v>76</v>
      </c>
    </row>
    <row r="30" spans="1:12" ht="15.75" thickBot="1">
      <c r="A30" s="313">
        <v>7</v>
      </c>
      <c r="B30" s="313" t="s">
        <v>687</v>
      </c>
      <c r="C30" s="313" t="s">
        <v>688</v>
      </c>
      <c r="D30" s="311">
        <f>[1]Лист1!$E$17</f>
        <v>2738.6</v>
      </c>
      <c r="E30" s="311">
        <v>7762</v>
      </c>
      <c r="F30" s="311">
        <v>13422</v>
      </c>
      <c r="G30" s="311">
        <v>10391.700000000001</v>
      </c>
      <c r="H30" s="311">
        <v>4847.1000000000004</v>
      </c>
      <c r="I30" s="311">
        <v>7097.9</v>
      </c>
      <c r="J30" s="311">
        <v>5084.6000000000004</v>
      </c>
      <c r="K30" s="311">
        <v>22180.799999999999</v>
      </c>
      <c r="L30" s="311">
        <v>5695.2</v>
      </c>
    </row>
    <row r="31" spans="1:12" ht="15.75" thickBot="1">
      <c r="A31" s="315" t="s">
        <v>693</v>
      </c>
      <c r="B31" s="313" t="s">
        <v>690</v>
      </c>
      <c r="C31" s="313" t="s">
        <v>688</v>
      </c>
      <c r="D31" s="311">
        <f>[1]Лист1!$E$18</f>
        <v>785.1</v>
      </c>
      <c r="E31" s="312">
        <v>3030</v>
      </c>
      <c r="F31" s="312">
        <v>3396.4</v>
      </c>
      <c r="G31" s="312">
        <v>3474.6</v>
      </c>
      <c r="H31" s="312">
        <v>1838.3</v>
      </c>
      <c r="I31" s="312">
        <v>1638.4</v>
      </c>
      <c r="J31" s="312">
        <v>1747.8</v>
      </c>
      <c r="K31" s="312">
        <v>1840.4</v>
      </c>
      <c r="L31" s="312">
        <v>2193.8000000000002</v>
      </c>
    </row>
    <row r="32" spans="1:12" ht="15">
      <c r="A32" s="307"/>
      <c r="B32" s="307"/>
      <c r="C32" s="307"/>
      <c r="D32" s="308"/>
      <c r="E32" s="308"/>
    </row>
    <row r="33" spans="1:1">
      <c r="A33" t="s">
        <v>700</v>
      </c>
    </row>
    <row r="34" spans="1:1">
      <c r="A34" t="s">
        <v>701</v>
      </c>
    </row>
    <row r="35" spans="1:1">
      <c r="A35" t="s">
        <v>702</v>
      </c>
    </row>
  </sheetData>
  <mergeCells count="1">
    <mergeCell ref="D4:L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2"/>
  <sheetViews>
    <sheetView topLeftCell="A97" workbookViewId="0">
      <selection activeCell="O10" sqref="O10"/>
    </sheetView>
  </sheetViews>
  <sheetFormatPr defaultRowHeight="12.75"/>
  <cols>
    <col min="1" max="1" width="4.140625" customWidth="1"/>
    <col min="2" max="2" width="9.140625" style="242"/>
    <col min="3" max="3" width="16.140625" style="242" customWidth="1"/>
    <col min="4" max="4" width="6.5703125" style="242" bestFit="1" customWidth="1"/>
    <col min="5" max="5" width="8.5703125" style="243" bestFit="1" customWidth="1"/>
    <col min="6" max="6" width="4.7109375" customWidth="1"/>
    <col min="7" max="7" width="6.5703125" customWidth="1"/>
    <col min="8" max="8" width="8" bestFit="1" customWidth="1"/>
    <col min="11" max="11" width="6.42578125" bestFit="1" customWidth="1"/>
  </cols>
  <sheetData>
    <row r="1" spans="1:12">
      <c r="A1" t="s">
        <v>699</v>
      </c>
    </row>
    <row r="2" spans="1:12" ht="13.5" thickBot="1"/>
    <row r="3" spans="1:12">
      <c r="A3" s="66" t="s">
        <v>71</v>
      </c>
      <c r="B3" s="384" t="s">
        <v>72</v>
      </c>
      <c r="C3" s="385"/>
      <c r="D3" s="60" t="s">
        <v>99</v>
      </c>
      <c r="E3" s="244" t="s">
        <v>663</v>
      </c>
      <c r="F3" s="34">
        <v>0.95</v>
      </c>
      <c r="G3" s="381" t="s">
        <v>664</v>
      </c>
      <c r="H3" s="382"/>
      <c r="I3" s="382"/>
      <c r="J3" s="382"/>
      <c r="K3" s="382"/>
      <c r="L3" s="383"/>
    </row>
    <row r="4" spans="1:12" ht="13.5" thickBot="1">
      <c r="A4" s="68" t="s">
        <v>73</v>
      </c>
      <c r="B4" s="386" t="s">
        <v>74</v>
      </c>
      <c r="C4" s="387"/>
      <c r="D4" s="61" t="s">
        <v>100</v>
      </c>
      <c r="E4" s="296" t="s">
        <v>665</v>
      </c>
      <c r="F4" s="26"/>
      <c r="G4" s="31"/>
      <c r="H4" s="35"/>
      <c r="I4" s="35"/>
      <c r="J4" s="35"/>
      <c r="K4" s="35"/>
      <c r="L4" s="32"/>
    </row>
    <row r="5" spans="1:12" ht="13.5" thickBot="1">
      <c r="A5" s="67"/>
      <c r="B5" s="388"/>
      <c r="C5" s="389"/>
      <c r="D5" s="62"/>
      <c r="E5" s="246" t="s">
        <v>654</v>
      </c>
      <c r="F5" s="35"/>
      <c r="G5" s="14" t="s">
        <v>666</v>
      </c>
      <c r="H5" s="14" t="s">
        <v>667</v>
      </c>
      <c r="I5" s="14" t="s">
        <v>675</v>
      </c>
      <c r="J5" s="294" t="s">
        <v>694</v>
      </c>
      <c r="K5" s="294" t="s">
        <v>695</v>
      </c>
      <c r="L5" s="14"/>
    </row>
    <row r="6" spans="1:12">
      <c r="A6" s="54">
        <v>1</v>
      </c>
      <c r="B6" s="297" t="s">
        <v>558</v>
      </c>
      <c r="C6" s="298"/>
      <c r="D6" s="299" t="s">
        <v>218</v>
      </c>
      <c r="E6" s="300">
        <v>120</v>
      </c>
      <c r="F6" t="s">
        <v>668</v>
      </c>
      <c r="G6" s="54"/>
      <c r="H6" s="54">
        <v>150</v>
      </c>
      <c r="I6" s="54">
        <v>140</v>
      </c>
      <c r="J6" s="54">
        <v>150</v>
      </c>
      <c r="K6" s="54">
        <v>112</v>
      </c>
      <c r="L6" s="54"/>
    </row>
    <row r="7" spans="1:12">
      <c r="A7" s="45">
        <v>2</v>
      </c>
      <c r="B7" s="121" t="s">
        <v>80</v>
      </c>
      <c r="C7" s="154"/>
      <c r="D7" s="256" t="s">
        <v>218</v>
      </c>
      <c r="E7" s="248">
        <v>90</v>
      </c>
      <c r="F7" t="s">
        <v>669</v>
      </c>
      <c r="G7" s="45">
        <v>110</v>
      </c>
      <c r="H7" s="45">
        <v>100</v>
      </c>
      <c r="I7" s="45">
        <v>85</v>
      </c>
      <c r="J7" s="45">
        <v>90</v>
      </c>
      <c r="K7" s="45">
        <v>80</v>
      </c>
      <c r="L7" s="45"/>
    </row>
    <row r="8" spans="1:12">
      <c r="A8" s="54">
        <v>3</v>
      </c>
      <c r="B8" s="121" t="s">
        <v>83</v>
      </c>
      <c r="C8" s="154"/>
      <c r="D8" s="256" t="s">
        <v>218</v>
      </c>
      <c r="E8" s="248">
        <v>60</v>
      </c>
      <c r="F8" t="s">
        <v>669</v>
      </c>
      <c r="G8" s="45"/>
      <c r="H8" s="45">
        <v>60</v>
      </c>
      <c r="I8" s="45">
        <v>115</v>
      </c>
      <c r="J8" s="45">
        <v>60</v>
      </c>
      <c r="K8" s="45">
        <v>50</v>
      </c>
      <c r="L8" s="45"/>
    </row>
    <row r="9" spans="1:12">
      <c r="A9" s="54">
        <v>4</v>
      </c>
      <c r="B9" s="121" t="s">
        <v>85</v>
      </c>
      <c r="C9" s="154"/>
      <c r="D9" s="256" t="s">
        <v>218</v>
      </c>
      <c r="E9" s="248">
        <v>154</v>
      </c>
      <c r="F9" t="s">
        <v>669</v>
      </c>
      <c r="G9" s="45"/>
      <c r="H9" s="45">
        <v>190</v>
      </c>
      <c r="I9" s="45">
        <v>165</v>
      </c>
      <c r="J9" s="45">
        <v>154</v>
      </c>
      <c r="K9" s="45">
        <v>135</v>
      </c>
      <c r="L9" s="45"/>
    </row>
    <row r="10" spans="1:12">
      <c r="A10" s="45">
        <v>5</v>
      </c>
      <c r="B10" s="121" t="s">
        <v>87</v>
      </c>
      <c r="C10" s="154"/>
      <c r="D10" s="256" t="s">
        <v>218</v>
      </c>
      <c r="E10" s="248">
        <v>150</v>
      </c>
      <c r="F10" t="s">
        <v>669</v>
      </c>
      <c r="G10" s="45">
        <v>65</v>
      </c>
      <c r="H10" s="45">
        <v>160</v>
      </c>
      <c r="I10" s="45">
        <v>65</v>
      </c>
      <c r="J10" s="45">
        <v>154</v>
      </c>
      <c r="K10" s="45">
        <v>130</v>
      </c>
      <c r="L10" s="45"/>
    </row>
    <row r="11" spans="1:12">
      <c r="A11" s="54">
        <v>6</v>
      </c>
      <c r="B11" s="148"/>
      <c r="C11" s="149"/>
      <c r="D11" s="256"/>
      <c r="E11" s="248"/>
      <c r="G11" s="45"/>
      <c r="H11" s="45"/>
      <c r="I11" s="45"/>
      <c r="J11" s="45"/>
      <c r="K11" s="45"/>
      <c r="L11" s="45"/>
    </row>
    <row r="12" spans="1:12">
      <c r="A12" s="54">
        <v>7</v>
      </c>
      <c r="B12" s="148" t="s">
        <v>148</v>
      </c>
      <c r="C12" s="149"/>
      <c r="D12" s="256" t="s">
        <v>218</v>
      </c>
      <c r="E12" s="249">
        <v>875</v>
      </c>
      <c r="G12" s="45"/>
      <c r="H12" s="45">
        <v>1100</v>
      </c>
      <c r="I12" s="45">
        <v>1100</v>
      </c>
      <c r="J12" s="45">
        <v>1700</v>
      </c>
      <c r="K12" s="45">
        <v>700</v>
      </c>
      <c r="L12" s="45"/>
    </row>
    <row r="13" spans="1:12">
      <c r="A13" s="45">
        <v>8</v>
      </c>
      <c r="B13" s="151" t="s">
        <v>131</v>
      </c>
      <c r="C13" s="152"/>
      <c r="D13" s="256" t="s">
        <v>150</v>
      </c>
      <c r="E13" s="249">
        <v>75</v>
      </c>
      <c r="F13" t="s">
        <v>669</v>
      </c>
      <c r="G13" s="45">
        <v>45</v>
      </c>
      <c r="H13" s="45">
        <v>75</v>
      </c>
      <c r="I13" s="45">
        <v>85</v>
      </c>
      <c r="J13" s="45">
        <v>76</v>
      </c>
      <c r="K13" s="45">
        <v>55</v>
      </c>
      <c r="L13" s="45"/>
    </row>
    <row r="14" spans="1:12">
      <c r="A14" s="54">
        <v>9</v>
      </c>
      <c r="B14" s="151" t="s">
        <v>172</v>
      </c>
      <c r="C14" s="152"/>
      <c r="D14" s="256"/>
      <c r="E14" s="249">
        <v>120</v>
      </c>
      <c r="G14" s="45"/>
      <c r="H14" s="45">
        <v>120</v>
      </c>
      <c r="I14" s="45">
        <v>123</v>
      </c>
      <c r="J14" s="45"/>
      <c r="K14" s="45">
        <v>46</v>
      </c>
      <c r="L14" s="45"/>
    </row>
    <row r="15" spans="1:12">
      <c r="A15" s="54">
        <v>10</v>
      </c>
      <c r="B15" s="121" t="s">
        <v>180</v>
      </c>
      <c r="C15" s="154"/>
      <c r="D15" s="257" t="s">
        <v>149</v>
      </c>
      <c r="E15" s="249">
        <v>185</v>
      </c>
      <c r="F15" t="s">
        <v>669</v>
      </c>
      <c r="G15" s="45">
        <v>256.5</v>
      </c>
      <c r="H15" s="45">
        <v>190</v>
      </c>
      <c r="I15" s="45">
        <v>255</v>
      </c>
      <c r="J15" s="45">
        <v>245</v>
      </c>
      <c r="K15" s="45">
        <v>163</v>
      </c>
      <c r="L15" s="45"/>
    </row>
    <row r="16" spans="1:12">
      <c r="A16" s="45">
        <v>11</v>
      </c>
      <c r="B16" s="121" t="s">
        <v>181</v>
      </c>
      <c r="C16" s="154"/>
      <c r="D16" s="257" t="s">
        <v>149</v>
      </c>
      <c r="E16" s="248">
        <v>200</v>
      </c>
      <c r="F16" t="s">
        <v>668</v>
      </c>
      <c r="G16" s="45"/>
      <c r="H16" s="45">
        <v>220</v>
      </c>
      <c r="I16" s="45">
        <v>224</v>
      </c>
      <c r="J16" s="45"/>
      <c r="K16" s="45">
        <v>150</v>
      </c>
      <c r="L16" s="45"/>
    </row>
    <row r="17" spans="1:12">
      <c r="A17" s="54">
        <v>12</v>
      </c>
      <c r="B17" s="121" t="s">
        <v>182</v>
      </c>
      <c r="C17" s="154"/>
      <c r="D17" s="257"/>
      <c r="E17" s="248">
        <v>67</v>
      </c>
      <c r="G17" s="45"/>
      <c r="H17" s="45"/>
      <c r="I17" s="45">
        <v>68</v>
      </c>
      <c r="J17" s="45"/>
      <c r="K17" s="45">
        <v>50</v>
      </c>
      <c r="L17" s="45"/>
    </row>
    <row r="18" spans="1:12">
      <c r="A18" s="54">
        <v>13</v>
      </c>
      <c r="B18" s="148" t="s">
        <v>183</v>
      </c>
      <c r="C18" s="149"/>
      <c r="D18" s="258" t="s">
        <v>149</v>
      </c>
      <c r="E18" s="248">
        <v>13</v>
      </c>
      <c r="F18" t="s">
        <v>669</v>
      </c>
      <c r="G18" s="45">
        <v>6.3</v>
      </c>
      <c r="H18" s="45">
        <v>18</v>
      </c>
      <c r="I18" s="45">
        <v>6</v>
      </c>
      <c r="J18" s="45">
        <v>16</v>
      </c>
      <c r="K18" s="45">
        <v>10</v>
      </c>
      <c r="L18" s="45"/>
    </row>
    <row r="19" spans="1:12">
      <c r="A19" s="45">
        <v>14</v>
      </c>
      <c r="B19" s="148" t="s">
        <v>184</v>
      </c>
      <c r="C19" s="149"/>
      <c r="D19" s="258" t="s">
        <v>149</v>
      </c>
      <c r="E19" s="248">
        <v>2100</v>
      </c>
      <c r="F19" t="s">
        <v>668</v>
      </c>
      <c r="G19" s="45"/>
      <c r="H19" s="45">
        <v>2100</v>
      </c>
      <c r="I19" s="45">
        <v>2200</v>
      </c>
      <c r="J19" s="45"/>
      <c r="K19" s="45">
        <v>1700</v>
      </c>
      <c r="L19" s="45"/>
    </row>
    <row r="20" spans="1:12">
      <c r="A20" s="54">
        <v>15</v>
      </c>
      <c r="B20" s="121" t="s">
        <v>565</v>
      </c>
      <c r="C20" s="154"/>
      <c r="D20" s="257" t="s">
        <v>149</v>
      </c>
      <c r="E20" s="248">
        <v>900</v>
      </c>
      <c r="F20" t="s">
        <v>669</v>
      </c>
      <c r="G20" s="45"/>
      <c r="H20" s="45">
        <v>1200</v>
      </c>
      <c r="I20" s="45">
        <v>950</v>
      </c>
      <c r="J20" s="45">
        <v>1120</v>
      </c>
      <c r="K20" s="45">
        <v>750</v>
      </c>
      <c r="L20" s="45"/>
    </row>
    <row r="21" spans="1:12">
      <c r="A21" s="54">
        <v>16</v>
      </c>
      <c r="B21" s="121" t="s">
        <v>202</v>
      </c>
      <c r="C21" s="154"/>
      <c r="D21" s="257" t="s">
        <v>149</v>
      </c>
      <c r="E21" s="248">
        <v>245</v>
      </c>
      <c r="F21" t="s">
        <v>669</v>
      </c>
      <c r="G21" s="45">
        <v>200</v>
      </c>
      <c r="H21" s="45">
        <v>245</v>
      </c>
      <c r="I21" s="45">
        <v>280</v>
      </c>
      <c r="J21" s="45">
        <v>260</v>
      </c>
      <c r="K21" s="45">
        <v>210</v>
      </c>
      <c r="L21" s="45"/>
    </row>
    <row r="22" spans="1:12">
      <c r="A22" s="45">
        <v>17</v>
      </c>
      <c r="B22" s="148" t="s">
        <v>568</v>
      </c>
      <c r="C22" s="149"/>
      <c r="D22" s="258" t="s">
        <v>149</v>
      </c>
      <c r="E22" s="248">
        <v>1480</v>
      </c>
      <c r="F22" t="s">
        <v>669</v>
      </c>
      <c r="G22" s="45"/>
      <c r="H22" s="45">
        <v>1480</v>
      </c>
      <c r="I22" s="45">
        <v>1530</v>
      </c>
      <c r="J22" s="45">
        <v>1850</v>
      </c>
      <c r="K22" s="45">
        <v>1150</v>
      </c>
      <c r="L22" s="45"/>
    </row>
    <row r="23" spans="1:12">
      <c r="A23" s="45">
        <v>18</v>
      </c>
      <c r="B23" s="152"/>
      <c r="C23" s="152"/>
      <c r="D23" s="256"/>
      <c r="E23" s="248"/>
      <c r="G23" s="45"/>
      <c r="H23" s="45"/>
      <c r="I23" s="45"/>
      <c r="J23" s="45"/>
      <c r="K23" s="45"/>
      <c r="L23" s="45"/>
    </row>
    <row r="24" spans="1:12">
      <c r="A24" s="45">
        <v>19</v>
      </c>
      <c r="B24" s="247" t="s">
        <v>327</v>
      </c>
      <c r="C24" s="152"/>
      <c r="D24" s="256" t="s">
        <v>328</v>
      </c>
      <c r="E24" s="248">
        <v>85</v>
      </c>
      <c r="F24" t="s">
        <v>669</v>
      </c>
      <c r="G24" s="45"/>
      <c r="H24" s="45"/>
      <c r="I24" s="45">
        <v>90</v>
      </c>
      <c r="J24" s="45"/>
      <c r="K24" s="45">
        <v>2800</v>
      </c>
      <c r="L24" s="45"/>
    </row>
    <row r="25" spans="1:12">
      <c r="A25" s="45">
        <v>20</v>
      </c>
      <c r="B25" s="152" t="s">
        <v>329</v>
      </c>
      <c r="C25" s="152"/>
      <c r="D25" s="256" t="s">
        <v>150</v>
      </c>
      <c r="E25" s="248">
        <v>80</v>
      </c>
      <c r="F25" t="s">
        <v>669</v>
      </c>
      <c r="G25" s="45"/>
      <c r="H25" s="45">
        <v>55</v>
      </c>
      <c r="I25" s="45">
        <v>85</v>
      </c>
      <c r="J25" s="45"/>
      <c r="K25" s="45">
        <v>81.33</v>
      </c>
      <c r="L25" s="45"/>
    </row>
    <row r="26" spans="1:12">
      <c r="A26" s="45">
        <v>21</v>
      </c>
      <c r="B26" s="247" t="s">
        <v>400</v>
      </c>
      <c r="C26" s="152"/>
      <c r="D26" s="256" t="s">
        <v>408</v>
      </c>
      <c r="E26" s="248">
        <v>300</v>
      </c>
      <c r="F26" t="s">
        <v>668</v>
      </c>
      <c r="G26" s="45">
        <v>185</v>
      </c>
      <c r="H26" s="45">
        <v>300</v>
      </c>
      <c r="I26" s="45">
        <v>360</v>
      </c>
      <c r="J26" s="45">
        <v>635</v>
      </c>
      <c r="K26" s="45"/>
      <c r="L26" s="45"/>
    </row>
    <row r="27" spans="1:12">
      <c r="A27" s="45">
        <v>22</v>
      </c>
      <c r="B27" s="247" t="s">
        <v>401</v>
      </c>
      <c r="C27" s="152"/>
      <c r="D27" s="256"/>
      <c r="E27" s="248"/>
      <c r="G27" s="45"/>
      <c r="H27" s="45">
        <v>25</v>
      </c>
      <c r="I27" s="45"/>
      <c r="J27" s="45"/>
      <c r="K27" s="45"/>
      <c r="L27" s="45"/>
    </row>
    <row r="28" spans="1:12">
      <c r="A28" s="45">
        <v>23</v>
      </c>
      <c r="B28" s="247" t="s">
        <v>402</v>
      </c>
      <c r="C28" s="152"/>
      <c r="D28" s="256" t="s">
        <v>150</v>
      </c>
      <c r="E28" s="248">
        <v>35</v>
      </c>
      <c r="F28" t="s">
        <v>669</v>
      </c>
      <c r="G28" s="45">
        <v>30</v>
      </c>
      <c r="H28" s="45"/>
      <c r="I28" s="45">
        <v>30</v>
      </c>
      <c r="J28" s="45">
        <v>45.5</v>
      </c>
      <c r="K28" s="45"/>
      <c r="L28" s="45"/>
    </row>
    <row r="29" spans="1:12">
      <c r="A29" s="45">
        <v>24</v>
      </c>
      <c r="B29" s="247" t="s">
        <v>403</v>
      </c>
      <c r="C29" s="152"/>
      <c r="D29" s="256" t="s">
        <v>150</v>
      </c>
      <c r="E29" s="248">
        <v>38</v>
      </c>
      <c r="F29" t="s">
        <v>669</v>
      </c>
      <c r="G29" s="45">
        <v>26.91</v>
      </c>
      <c r="H29" s="45"/>
      <c r="I29" s="45">
        <v>40</v>
      </c>
      <c r="J29" s="45">
        <v>38</v>
      </c>
      <c r="K29" s="45"/>
      <c r="L29" s="45"/>
    </row>
    <row r="30" spans="1:12">
      <c r="A30" s="45">
        <v>25</v>
      </c>
      <c r="B30" s="247" t="s">
        <v>404</v>
      </c>
      <c r="C30" s="152"/>
      <c r="D30" s="256" t="s">
        <v>150</v>
      </c>
      <c r="E30" s="248">
        <v>42</v>
      </c>
      <c r="F30" t="s">
        <v>669</v>
      </c>
      <c r="G30" s="45"/>
      <c r="H30" s="45"/>
      <c r="I30" s="45">
        <v>45</v>
      </c>
      <c r="J30" s="45">
        <v>42</v>
      </c>
      <c r="K30" s="45"/>
      <c r="L30" s="45"/>
    </row>
    <row r="31" spans="1:12">
      <c r="A31" s="45">
        <v>26</v>
      </c>
      <c r="B31" s="247" t="s">
        <v>405</v>
      </c>
      <c r="C31" s="152"/>
      <c r="D31" s="256" t="s">
        <v>150</v>
      </c>
      <c r="E31" s="248">
        <v>75</v>
      </c>
      <c r="F31" t="s">
        <v>669</v>
      </c>
      <c r="G31" s="45"/>
      <c r="H31" s="45">
        <v>55</v>
      </c>
      <c r="I31" s="45">
        <v>75</v>
      </c>
      <c r="J31" s="45">
        <v>75</v>
      </c>
      <c r="K31" s="45"/>
      <c r="L31" s="45"/>
    </row>
    <row r="32" spans="1:12">
      <c r="A32" s="45">
        <v>27</v>
      </c>
      <c r="B32" s="247" t="s">
        <v>406</v>
      </c>
      <c r="C32" s="152"/>
      <c r="D32" s="256" t="s">
        <v>150</v>
      </c>
      <c r="E32" s="248">
        <v>145</v>
      </c>
      <c r="F32" t="s">
        <v>669</v>
      </c>
      <c r="G32" s="45"/>
      <c r="H32" s="45">
        <v>145</v>
      </c>
      <c r="I32" s="45">
        <v>155</v>
      </c>
      <c r="J32" s="45"/>
      <c r="K32" s="45"/>
      <c r="L32" s="45"/>
    </row>
    <row r="33" spans="1:12">
      <c r="A33" s="45">
        <v>28</v>
      </c>
      <c r="B33" s="247" t="s">
        <v>407</v>
      </c>
      <c r="C33" s="152"/>
      <c r="D33" s="256" t="s">
        <v>162</v>
      </c>
      <c r="E33" s="248">
        <v>20</v>
      </c>
      <c r="F33" t="s">
        <v>669</v>
      </c>
      <c r="G33" s="45"/>
      <c r="H33" s="45">
        <v>20</v>
      </c>
      <c r="I33" s="45">
        <v>27</v>
      </c>
      <c r="J33" s="45">
        <v>20</v>
      </c>
      <c r="K33" s="45"/>
      <c r="L33" s="45"/>
    </row>
    <row r="34" spans="1:12">
      <c r="A34" s="45">
        <v>29</v>
      </c>
      <c r="B34" s="247" t="s">
        <v>418</v>
      </c>
      <c r="C34" s="152"/>
      <c r="D34" s="256" t="s">
        <v>149</v>
      </c>
      <c r="E34" s="248">
        <v>32</v>
      </c>
      <c r="F34" t="s">
        <v>669</v>
      </c>
      <c r="G34" s="45"/>
      <c r="H34" s="45">
        <v>32</v>
      </c>
      <c r="I34" s="45">
        <v>35</v>
      </c>
      <c r="J34" s="45">
        <v>32</v>
      </c>
      <c r="K34" s="45"/>
      <c r="L34" s="45"/>
    </row>
    <row r="35" spans="1:12">
      <c r="A35" s="45">
        <v>30</v>
      </c>
      <c r="B35" s="247" t="s">
        <v>419</v>
      </c>
      <c r="C35" s="152"/>
      <c r="D35" s="256" t="s">
        <v>149</v>
      </c>
      <c r="E35" s="248">
        <v>40</v>
      </c>
      <c r="F35" t="s">
        <v>669</v>
      </c>
      <c r="G35" s="45"/>
      <c r="H35" s="45">
        <v>50</v>
      </c>
      <c r="I35" s="45">
        <v>43</v>
      </c>
      <c r="J35" s="45">
        <v>42</v>
      </c>
      <c r="K35" s="45">
        <v>30</v>
      </c>
      <c r="L35" s="45"/>
    </row>
    <row r="36" spans="1:12">
      <c r="A36" s="45">
        <v>31</v>
      </c>
      <c r="B36" s="247" t="s">
        <v>420</v>
      </c>
      <c r="C36" s="152"/>
      <c r="D36" s="256" t="s">
        <v>149</v>
      </c>
      <c r="E36" s="248">
        <v>65</v>
      </c>
      <c r="F36" t="s">
        <v>669</v>
      </c>
      <c r="G36" s="45">
        <v>35.200000000000003</v>
      </c>
      <c r="H36" s="45">
        <v>65</v>
      </c>
      <c r="I36" s="45">
        <v>40</v>
      </c>
      <c r="J36" s="45">
        <v>80</v>
      </c>
      <c r="K36" s="45">
        <v>50</v>
      </c>
      <c r="L36" s="45"/>
    </row>
    <row r="37" spans="1:12">
      <c r="A37" s="45">
        <v>32</v>
      </c>
      <c r="B37" s="247" t="s">
        <v>421</v>
      </c>
      <c r="C37" s="152"/>
      <c r="D37" s="256" t="s">
        <v>149</v>
      </c>
      <c r="E37" s="248">
        <v>10</v>
      </c>
      <c r="F37" t="s">
        <v>669</v>
      </c>
      <c r="G37" s="45"/>
      <c r="H37" s="45">
        <v>10</v>
      </c>
      <c r="I37" s="45">
        <v>12</v>
      </c>
      <c r="J37" s="45"/>
      <c r="K37" s="45"/>
      <c r="L37" s="45"/>
    </row>
    <row r="38" spans="1:12">
      <c r="A38" s="45">
        <v>33</v>
      </c>
      <c r="B38" s="247" t="s">
        <v>422</v>
      </c>
      <c r="C38" s="152"/>
      <c r="D38" s="256" t="s">
        <v>149</v>
      </c>
      <c r="E38" s="248">
        <v>2.4</v>
      </c>
      <c r="F38" t="s">
        <v>669</v>
      </c>
      <c r="G38" s="45"/>
      <c r="H38" s="45">
        <v>3</v>
      </c>
      <c r="I38" s="45">
        <v>3.7</v>
      </c>
      <c r="J38" s="45"/>
      <c r="K38" s="45"/>
      <c r="L38" s="45"/>
    </row>
    <row r="39" spans="1:12">
      <c r="A39" s="45">
        <v>34</v>
      </c>
      <c r="B39" s="247" t="s">
        <v>423</v>
      </c>
      <c r="C39" s="152"/>
      <c r="D39" s="256"/>
      <c r="E39" s="248"/>
      <c r="G39" s="45"/>
      <c r="H39" s="45"/>
      <c r="I39" s="45"/>
      <c r="J39" s="45"/>
      <c r="K39" s="45"/>
      <c r="L39" s="45"/>
    </row>
    <row r="40" spans="1:12">
      <c r="A40" s="45">
        <v>35</v>
      </c>
      <c r="B40" s="247" t="s">
        <v>432</v>
      </c>
      <c r="C40" s="152"/>
      <c r="D40" s="256" t="s">
        <v>320</v>
      </c>
      <c r="E40" s="248">
        <v>18700</v>
      </c>
      <c r="F40" t="s">
        <v>669</v>
      </c>
      <c r="G40" s="45">
        <v>18889</v>
      </c>
      <c r="H40" s="45">
        <v>18700</v>
      </c>
      <c r="I40" s="45">
        <v>18700</v>
      </c>
      <c r="J40" s="45"/>
      <c r="K40" s="45"/>
      <c r="L40" s="45"/>
    </row>
    <row r="41" spans="1:12">
      <c r="A41" s="45">
        <v>36</v>
      </c>
      <c r="B41" s="247" t="s">
        <v>424</v>
      </c>
      <c r="C41" s="152"/>
      <c r="D41" s="256" t="s">
        <v>162</v>
      </c>
      <c r="E41" s="248">
        <v>216</v>
      </c>
      <c r="F41" t="s">
        <v>669</v>
      </c>
      <c r="G41" s="45"/>
      <c r="H41" s="45">
        <v>550</v>
      </c>
      <c r="I41" s="45">
        <v>225</v>
      </c>
      <c r="J41" s="45"/>
      <c r="K41" s="45"/>
      <c r="L41" s="45"/>
    </row>
    <row r="42" spans="1:12" ht="24" customHeight="1">
      <c r="A42" s="45">
        <v>37</v>
      </c>
      <c r="B42" s="379" t="s">
        <v>425</v>
      </c>
      <c r="C42" s="380"/>
      <c r="D42" s="256" t="s">
        <v>162</v>
      </c>
      <c r="E42" s="248">
        <v>35</v>
      </c>
      <c r="F42" t="s">
        <v>669</v>
      </c>
      <c r="G42" s="45"/>
      <c r="H42" s="45">
        <v>45</v>
      </c>
      <c r="I42" s="45">
        <v>40</v>
      </c>
      <c r="J42" s="45">
        <v>75</v>
      </c>
      <c r="K42" s="45"/>
      <c r="L42" s="45"/>
    </row>
    <row r="43" spans="1:12">
      <c r="A43" s="45">
        <v>38</v>
      </c>
      <c r="B43" s="247" t="s">
        <v>426</v>
      </c>
      <c r="C43" s="152"/>
      <c r="D43" s="256" t="s">
        <v>434</v>
      </c>
      <c r="E43" s="248">
        <v>85</v>
      </c>
      <c r="F43" t="s">
        <v>669</v>
      </c>
      <c r="G43" s="45">
        <v>54</v>
      </c>
      <c r="H43" s="45">
        <v>85</v>
      </c>
      <c r="I43" s="45">
        <v>90</v>
      </c>
      <c r="J43" s="45"/>
      <c r="K43" s="45">
        <v>55</v>
      </c>
      <c r="L43" s="45"/>
    </row>
    <row r="44" spans="1:12">
      <c r="A44" s="45">
        <v>39</v>
      </c>
      <c r="B44" s="247" t="s">
        <v>427</v>
      </c>
      <c r="C44" s="152"/>
      <c r="D44" s="256" t="s">
        <v>408</v>
      </c>
      <c r="E44" s="248">
        <v>570</v>
      </c>
      <c r="F44" t="s">
        <v>669</v>
      </c>
      <c r="G44" s="45"/>
      <c r="H44" s="45">
        <v>600</v>
      </c>
      <c r="I44" s="45">
        <v>560</v>
      </c>
      <c r="J44" s="45"/>
      <c r="K44" s="45"/>
      <c r="L44" s="45"/>
    </row>
    <row r="45" spans="1:12">
      <c r="A45" s="45">
        <v>40</v>
      </c>
      <c r="B45" s="247" t="s">
        <v>428</v>
      </c>
      <c r="C45" s="152"/>
      <c r="D45" s="256" t="s">
        <v>149</v>
      </c>
      <c r="E45" s="248">
        <v>5800</v>
      </c>
      <c r="F45" t="s">
        <v>669</v>
      </c>
      <c r="G45" s="45"/>
      <c r="H45" s="45">
        <v>6000</v>
      </c>
      <c r="I45" s="45">
        <v>5600</v>
      </c>
      <c r="J45" s="45"/>
      <c r="K45" s="45"/>
      <c r="L45" s="45"/>
    </row>
    <row r="46" spans="1:12">
      <c r="A46" s="45">
        <v>41</v>
      </c>
      <c r="B46" s="247" t="s">
        <v>429</v>
      </c>
      <c r="C46" s="152"/>
      <c r="D46" s="256" t="s">
        <v>408</v>
      </c>
      <c r="E46" s="248">
        <v>250</v>
      </c>
      <c r="F46" t="s">
        <v>669</v>
      </c>
      <c r="G46" s="45">
        <v>160</v>
      </c>
      <c r="H46" s="45">
        <v>250</v>
      </c>
      <c r="I46" s="45">
        <v>263</v>
      </c>
      <c r="J46" s="45">
        <v>280</v>
      </c>
      <c r="K46" s="45">
        <v>220</v>
      </c>
      <c r="L46" s="45"/>
    </row>
    <row r="47" spans="1:12">
      <c r="A47" s="45">
        <v>42</v>
      </c>
      <c r="B47" s="247" t="s">
        <v>433</v>
      </c>
      <c r="C47" s="152"/>
      <c r="D47" s="256" t="s">
        <v>150</v>
      </c>
      <c r="E47" s="248">
        <v>130</v>
      </c>
      <c r="F47" t="s">
        <v>668</v>
      </c>
      <c r="G47" s="45"/>
      <c r="H47" s="45">
        <v>140</v>
      </c>
      <c r="I47" s="45">
        <v>132</v>
      </c>
      <c r="J47" s="45">
        <v>243</v>
      </c>
      <c r="K47" s="45">
        <v>110</v>
      </c>
      <c r="L47" s="45"/>
    </row>
    <row r="48" spans="1:12">
      <c r="A48" s="45">
        <v>43</v>
      </c>
      <c r="B48" s="247" t="s">
        <v>430</v>
      </c>
      <c r="C48" s="152"/>
      <c r="D48" s="256" t="s">
        <v>150</v>
      </c>
      <c r="E48" s="248">
        <v>312</v>
      </c>
      <c r="F48" t="s">
        <v>669</v>
      </c>
      <c r="G48" s="45">
        <v>294</v>
      </c>
      <c r="H48" s="45">
        <v>312</v>
      </c>
      <c r="I48" s="45">
        <v>320</v>
      </c>
      <c r="J48" s="45"/>
      <c r="K48" s="45">
        <v>280</v>
      </c>
      <c r="L48" s="45"/>
    </row>
    <row r="49" spans="1:12">
      <c r="A49" s="45">
        <v>44</v>
      </c>
      <c r="B49" s="247" t="s">
        <v>431</v>
      </c>
      <c r="C49" s="152"/>
      <c r="D49" s="256" t="s">
        <v>150</v>
      </c>
      <c r="E49" s="248">
        <v>120</v>
      </c>
      <c r="F49" t="s">
        <v>669</v>
      </c>
      <c r="G49" s="45"/>
      <c r="H49" s="45">
        <v>120</v>
      </c>
      <c r="I49" s="45">
        <v>127</v>
      </c>
      <c r="J49" s="45"/>
      <c r="K49" s="45">
        <v>80</v>
      </c>
      <c r="L49" s="45"/>
    </row>
    <row r="50" spans="1:12">
      <c r="A50" s="45">
        <v>45</v>
      </c>
      <c r="B50" s="250" t="s">
        <v>439</v>
      </c>
      <c r="C50" s="152"/>
      <c r="D50" s="256" t="s">
        <v>408</v>
      </c>
      <c r="E50" s="248">
        <v>500</v>
      </c>
      <c r="F50" t="s">
        <v>669</v>
      </c>
      <c r="G50" s="45"/>
      <c r="H50" s="45">
        <v>500</v>
      </c>
      <c r="I50" s="45">
        <v>510</v>
      </c>
      <c r="J50" s="45"/>
      <c r="K50" s="45"/>
      <c r="L50" s="45"/>
    </row>
    <row r="51" spans="1:12">
      <c r="A51" s="45">
        <v>46</v>
      </c>
      <c r="B51" s="250" t="s">
        <v>518</v>
      </c>
      <c r="C51" s="152"/>
      <c r="D51" s="256" t="s">
        <v>320</v>
      </c>
      <c r="E51" s="248">
        <v>3475</v>
      </c>
      <c r="F51" t="s">
        <v>669</v>
      </c>
      <c r="G51" s="45"/>
      <c r="H51" s="45">
        <v>3600</v>
      </c>
      <c r="I51" s="45">
        <v>3645</v>
      </c>
      <c r="J51" s="45"/>
      <c r="K51" s="45"/>
      <c r="L51" s="45"/>
    </row>
    <row r="52" spans="1:12">
      <c r="A52" s="45">
        <v>47</v>
      </c>
      <c r="B52" s="247" t="s">
        <v>519</v>
      </c>
      <c r="C52" s="152"/>
      <c r="D52" s="256" t="s">
        <v>150</v>
      </c>
      <c r="E52" s="248">
        <v>28</v>
      </c>
      <c r="F52" t="s">
        <v>669</v>
      </c>
      <c r="G52" s="45"/>
      <c r="H52" s="45"/>
      <c r="I52" s="45">
        <v>37</v>
      </c>
      <c r="J52" s="45">
        <v>40.4</v>
      </c>
      <c r="K52" s="45">
        <v>35</v>
      </c>
      <c r="L52" s="45"/>
    </row>
    <row r="53" spans="1:12">
      <c r="A53" s="45">
        <v>48</v>
      </c>
      <c r="B53" s="247" t="s">
        <v>520</v>
      </c>
      <c r="C53" s="152"/>
      <c r="D53" s="256" t="s">
        <v>150</v>
      </c>
      <c r="E53" s="248">
        <v>225</v>
      </c>
      <c r="F53" t="s">
        <v>669</v>
      </c>
      <c r="G53" s="45">
        <v>261</v>
      </c>
      <c r="H53" s="45">
        <v>225</v>
      </c>
      <c r="I53" s="45">
        <v>258</v>
      </c>
      <c r="J53" s="45"/>
      <c r="K53" s="45"/>
      <c r="L53" s="45"/>
    </row>
    <row r="54" spans="1:12">
      <c r="A54" s="45">
        <v>49</v>
      </c>
      <c r="B54" s="251" t="s">
        <v>521</v>
      </c>
      <c r="C54" s="152"/>
      <c r="D54" s="256" t="s">
        <v>150</v>
      </c>
      <c r="E54" s="248">
        <v>44</v>
      </c>
      <c r="F54" t="s">
        <v>669</v>
      </c>
      <c r="G54" s="45">
        <v>27</v>
      </c>
      <c r="H54" s="45">
        <v>44</v>
      </c>
      <c r="I54" s="45">
        <v>56</v>
      </c>
      <c r="J54" s="45"/>
      <c r="K54" s="45"/>
      <c r="L54" s="45"/>
    </row>
    <row r="55" spans="1:12">
      <c r="A55" s="45">
        <v>50</v>
      </c>
      <c r="B55" s="152" t="s">
        <v>523</v>
      </c>
      <c r="C55" s="152"/>
      <c r="D55" s="256" t="s">
        <v>149</v>
      </c>
      <c r="E55" s="248">
        <v>16</v>
      </c>
      <c r="F55" t="s">
        <v>669</v>
      </c>
      <c r="G55" s="45">
        <v>11</v>
      </c>
      <c r="H55" s="45">
        <v>18</v>
      </c>
      <c r="I55" s="45">
        <v>79</v>
      </c>
      <c r="J55" s="45">
        <v>18</v>
      </c>
      <c r="K55" s="45">
        <v>12</v>
      </c>
      <c r="L55" s="45"/>
    </row>
    <row r="56" spans="1:12">
      <c r="A56" s="77">
        <v>51</v>
      </c>
      <c r="B56" s="152" t="s">
        <v>538</v>
      </c>
      <c r="C56" s="152"/>
      <c r="D56" s="256" t="s">
        <v>150</v>
      </c>
      <c r="E56" s="248">
        <f>0.35*1.1367*1.005*F3</f>
        <v>0.37984251374999994</v>
      </c>
      <c r="G56" s="45"/>
      <c r="H56" s="45"/>
      <c r="I56" s="45"/>
      <c r="J56" s="45"/>
      <c r="K56" s="45">
        <v>15</v>
      </c>
      <c r="L56" s="45"/>
    </row>
    <row r="57" spans="1:12">
      <c r="A57" s="77">
        <v>52</v>
      </c>
      <c r="B57" s="152" t="s">
        <v>539</v>
      </c>
      <c r="C57" s="152"/>
      <c r="D57" s="256" t="s">
        <v>150</v>
      </c>
      <c r="E57" s="248">
        <f>0.06*1.1367*1.005*F3</f>
        <v>6.5115859499999984E-2</v>
      </c>
      <c r="G57" s="45"/>
      <c r="H57" s="45"/>
      <c r="I57" s="45"/>
      <c r="J57" s="45"/>
      <c r="K57" s="45"/>
      <c r="L57" s="45"/>
    </row>
    <row r="58" spans="1:12">
      <c r="A58" s="77">
        <v>53</v>
      </c>
      <c r="B58" s="152" t="s">
        <v>540</v>
      </c>
      <c r="C58" s="152"/>
      <c r="D58" s="256" t="s">
        <v>150</v>
      </c>
      <c r="E58" s="248">
        <v>60</v>
      </c>
      <c r="F58" t="s">
        <v>669</v>
      </c>
      <c r="G58" s="45"/>
      <c r="H58" s="45"/>
      <c r="I58" s="45"/>
      <c r="J58" s="45"/>
      <c r="K58" s="45">
        <v>60</v>
      </c>
      <c r="L58" s="45"/>
    </row>
    <row r="59" spans="1:12">
      <c r="A59" s="77">
        <v>54</v>
      </c>
      <c r="B59" s="152" t="s">
        <v>541</v>
      </c>
      <c r="C59" s="152"/>
      <c r="D59" s="256" t="s">
        <v>150</v>
      </c>
      <c r="E59" s="248">
        <v>28</v>
      </c>
      <c r="F59" t="s">
        <v>669</v>
      </c>
      <c r="G59" s="45"/>
      <c r="H59" s="45"/>
      <c r="I59" s="45"/>
      <c r="J59" s="45"/>
      <c r="K59" s="45"/>
      <c r="L59" s="45"/>
    </row>
    <row r="60" spans="1:12">
      <c r="A60" s="77">
        <v>55</v>
      </c>
      <c r="B60" s="152" t="s">
        <v>542</v>
      </c>
      <c r="C60" s="152"/>
      <c r="D60" s="256" t="s">
        <v>150</v>
      </c>
      <c r="E60" s="248">
        <f>0.11*1.1367*1.005*F3</f>
        <v>0.11937907575000001</v>
      </c>
      <c r="G60" s="45"/>
      <c r="H60" s="45"/>
      <c r="I60" s="45"/>
      <c r="J60" s="45"/>
      <c r="K60" s="45"/>
      <c r="L60" s="45"/>
    </row>
    <row r="61" spans="1:12" ht="13.5" thickBot="1">
      <c r="A61" s="71">
        <v>56</v>
      </c>
      <c r="B61" s="252" t="s">
        <v>543</v>
      </c>
      <c r="D61" s="260" t="s">
        <v>150</v>
      </c>
      <c r="E61" s="259">
        <f>1.68*1.1367*1.005*F3</f>
        <v>1.8232440659999998</v>
      </c>
      <c r="G61" s="45">
        <v>115</v>
      </c>
      <c r="H61" s="45">
        <v>700</v>
      </c>
      <c r="I61" s="45"/>
      <c r="J61" s="45"/>
      <c r="K61" s="45"/>
      <c r="L61" s="45"/>
    </row>
    <row r="62" spans="1:12">
      <c r="A62" s="45">
        <v>57</v>
      </c>
      <c r="B62" s="225" t="s">
        <v>263</v>
      </c>
      <c r="C62" s="226"/>
      <c r="D62" s="229" t="s">
        <v>319</v>
      </c>
      <c r="E62" s="150">
        <v>101</v>
      </c>
      <c r="F62" t="s">
        <v>669</v>
      </c>
      <c r="G62" s="45"/>
      <c r="H62" s="45">
        <v>110</v>
      </c>
      <c r="I62" s="45">
        <v>96</v>
      </c>
      <c r="J62" s="45">
        <v>120</v>
      </c>
      <c r="K62" s="45">
        <v>77.150000000000006</v>
      </c>
      <c r="L62" s="45"/>
    </row>
    <row r="63" spans="1:12">
      <c r="A63" s="45">
        <v>58</v>
      </c>
      <c r="B63" s="224" t="s">
        <v>264</v>
      </c>
      <c r="C63" s="153"/>
      <c r="D63" s="230" t="s">
        <v>319</v>
      </c>
      <c r="E63" s="150">
        <v>123</v>
      </c>
      <c r="F63" t="s">
        <v>669</v>
      </c>
      <c r="G63" s="45">
        <v>200</v>
      </c>
      <c r="H63" s="45">
        <v>130</v>
      </c>
      <c r="I63" s="45">
        <v>112</v>
      </c>
      <c r="J63" s="45">
        <v>140</v>
      </c>
      <c r="K63" s="45">
        <v>60.46</v>
      </c>
      <c r="L63" s="45"/>
    </row>
    <row r="64" spans="1:12">
      <c r="A64" s="45">
        <v>59</v>
      </c>
      <c r="B64" s="224" t="s">
        <v>265</v>
      </c>
      <c r="C64" s="153"/>
      <c r="D64" s="230" t="s">
        <v>319</v>
      </c>
      <c r="E64" s="150">
        <v>138</v>
      </c>
      <c r="F64" t="s">
        <v>669</v>
      </c>
      <c r="G64" s="45"/>
      <c r="H64" s="45">
        <v>138</v>
      </c>
      <c r="I64" s="45">
        <v>127</v>
      </c>
      <c r="J64" s="45">
        <v>210</v>
      </c>
      <c r="K64" s="45">
        <v>84.21</v>
      </c>
      <c r="L64" s="45"/>
    </row>
    <row r="65" spans="1:12">
      <c r="A65" s="45">
        <v>60</v>
      </c>
      <c r="B65" s="224" t="s">
        <v>266</v>
      </c>
      <c r="C65" s="153"/>
      <c r="D65" s="230" t="s">
        <v>319</v>
      </c>
      <c r="E65" s="150">
        <v>175</v>
      </c>
      <c r="F65" t="s">
        <v>669</v>
      </c>
      <c r="G65" s="45"/>
      <c r="H65" s="45">
        <v>175</v>
      </c>
      <c r="I65" s="45">
        <v>164</v>
      </c>
      <c r="J65" s="45">
        <v>250</v>
      </c>
      <c r="K65" s="45">
        <v>111.05</v>
      </c>
      <c r="L65" s="45"/>
    </row>
    <row r="66" spans="1:12">
      <c r="A66" s="45">
        <v>61</v>
      </c>
      <c r="B66" s="224" t="s">
        <v>267</v>
      </c>
      <c r="C66" s="153"/>
      <c r="D66" s="230" t="s">
        <v>319</v>
      </c>
      <c r="E66" s="150">
        <v>314</v>
      </c>
      <c r="F66" t="s">
        <v>669</v>
      </c>
      <c r="G66" s="45">
        <v>150</v>
      </c>
      <c r="H66" s="45">
        <v>314</v>
      </c>
      <c r="I66" s="45">
        <v>295</v>
      </c>
      <c r="J66" s="45">
        <v>368</v>
      </c>
      <c r="K66" s="45"/>
      <c r="L66" s="45"/>
    </row>
    <row r="67" spans="1:12">
      <c r="A67" s="45">
        <v>62</v>
      </c>
      <c r="B67" s="224" t="s">
        <v>268</v>
      </c>
      <c r="C67" s="153"/>
      <c r="D67" s="230" t="s">
        <v>150</v>
      </c>
      <c r="E67" s="150">
        <v>50</v>
      </c>
      <c r="F67" t="s">
        <v>669</v>
      </c>
      <c r="G67" s="45"/>
      <c r="H67" s="45">
        <v>50</v>
      </c>
      <c r="I67" s="45">
        <v>60</v>
      </c>
      <c r="J67" s="45">
        <v>50</v>
      </c>
      <c r="K67" s="45"/>
      <c r="L67" s="45"/>
    </row>
    <row r="68" spans="1:12">
      <c r="A68" s="45">
        <v>63</v>
      </c>
      <c r="B68" s="224" t="s">
        <v>270</v>
      </c>
      <c r="C68" s="153"/>
      <c r="D68" s="230" t="s">
        <v>150</v>
      </c>
      <c r="E68" s="150">
        <v>52</v>
      </c>
      <c r="F68" t="s">
        <v>669</v>
      </c>
      <c r="G68" s="45"/>
      <c r="H68" s="45">
        <v>52</v>
      </c>
      <c r="I68" s="45">
        <v>55</v>
      </c>
      <c r="J68" s="45"/>
      <c r="K68" s="45">
        <v>250</v>
      </c>
      <c r="L68" s="45"/>
    </row>
    <row r="69" spans="1:12">
      <c r="A69" s="45">
        <v>64</v>
      </c>
      <c r="B69" s="224" t="s">
        <v>271</v>
      </c>
      <c r="C69" s="153"/>
      <c r="D69" s="230" t="s">
        <v>150</v>
      </c>
      <c r="E69" s="150">
        <v>80</v>
      </c>
      <c r="F69" t="s">
        <v>669</v>
      </c>
      <c r="G69" s="45">
        <v>75</v>
      </c>
      <c r="H69" s="45">
        <v>80</v>
      </c>
      <c r="I69" s="45">
        <v>87</v>
      </c>
      <c r="J69" s="45">
        <v>120</v>
      </c>
      <c r="K69" s="45">
        <v>86</v>
      </c>
      <c r="L69" s="45"/>
    </row>
    <row r="70" spans="1:12">
      <c r="A70" s="45">
        <v>65</v>
      </c>
      <c r="B70" s="224" t="s">
        <v>272</v>
      </c>
      <c r="C70" s="153"/>
      <c r="D70" s="230" t="s">
        <v>150</v>
      </c>
      <c r="E70" s="150">
        <v>250</v>
      </c>
      <c r="F70" t="s">
        <v>669</v>
      </c>
      <c r="G70" s="45"/>
      <c r="H70" s="45">
        <v>250</v>
      </c>
      <c r="I70" s="45">
        <v>260</v>
      </c>
      <c r="J70" s="45">
        <v>250</v>
      </c>
      <c r="K70" s="45"/>
      <c r="L70" s="45"/>
    </row>
    <row r="71" spans="1:12">
      <c r="A71" s="45">
        <v>66</v>
      </c>
      <c r="B71" s="224" t="s">
        <v>274</v>
      </c>
      <c r="C71" s="153"/>
      <c r="D71" s="230" t="s">
        <v>150</v>
      </c>
      <c r="E71" s="150">
        <v>380</v>
      </c>
      <c r="F71" t="s">
        <v>669</v>
      </c>
      <c r="G71" s="45">
        <v>135</v>
      </c>
      <c r="H71" s="45">
        <v>360</v>
      </c>
      <c r="I71" s="45">
        <v>385</v>
      </c>
      <c r="J71" s="45"/>
      <c r="K71" s="45">
        <v>290</v>
      </c>
      <c r="L71" s="45"/>
    </row>
    <row r="72" spans="1:12">
      <c r="A72" s="45">
        <v>67</v>
      </c>
      <c r="B72" s="224" t="s">
        <v>276</v>
      </c>
      <c r="C72" s="153"/>
      <c r="D72" s="230" t="s">
        <v>150</v>
      </c>
      <c r="E72" s="150">
        <v>190</v>
      </c>
      <c r="F72" t="s">
        <v>669</v>
      </c>
      <c r="G72" s="45">
        <v>350</v>
      </c>
      <c r="H72" s="45">
        <v>190</v>
      </c>
      <c r="I72" s="45">
        <v>210</v>
      </c>
      <c r="J72" s="45"/>
      <c r="K72" s="45">
        <v>80.510000000000005</v>
      </c>
      <c r="L72" s="45"/>
    </row>
    <row r="73" spans="1:12">
      <c r="A73" s="45">
        <v>68</v>
      </c>
      <c r="B73" s="224" t="s">
        <v>278</v>
      </c>
      <c r="C73" s="153"/>
      <c r="D73" s="230" t="s">
        <v>150</v>
      </c>
      <c r="E73" s="150">
        <v>207</v>
      </c>
      <c r="F73" t="s">
        <v>669</v>
      </c>
      <c r="G73" s="45">
        <v>141.5</v>
      </c>
      <c r="H73" s="45">
        <v>207</v>
      </c>
      <c r="I73" s="45">
        <v>155</v>
      </c>
      <c r="J73" s="45">
        <v>99</v>
      </c>
      <c r="K73" s="45">
        <v>172</v>
      </c>
      <c r="L73" s="45"/>
    </row>
    <row r="74" spans="1:12">
      <c r="A74" s="45">
        <v>69</v>
      </c>
      <c r="B74" s="224" t="s">
        <v>280</v>
      </c>
      <c r="C74" s="153"/>
      <c r="D74" s="230" t="s">
        <v>150</v>
      </c>
      <c r="E74" s="150">
        <v>17</v>
      </c>
      <c r="F74" t="s">
        <v>669</v>
      </c>
      <c r="G74" s="45"/>
      <c r="H74" s="45"/>
      <c r="I74" s="45">
        <v>22</v>
      </c>
      <c r="J74" s="45"/>
      <c r="K74" s="45"/>
      <c r="L74" s="45"/>
    </row>
    <row r="75" spans="1:12">
      <c r="A75" s="45">
        <v>70</v>
      </c>
      <c r="B75" s="224" t="s">
        <v>282</v>
      </c>
      <c r="C75" s="153"/>
      <c r="D75" s="230" t="s">
        <v>150</v>
      </c>
      <c r="E75" s="150">
        <v>245</v>
      </c>
      <c r="F75" t="s">
        <v>669</v>
      </c>
      <c r="G75" s="45"/>
      <c r="H75" s="45">
        <v>245</v>
      </c>
      <c r="I75" s="45">
        <v>340</v>
      </c>
      <c r="J75" s="45">
        <v>310</v>
      </c>
      <c r="K75" s="45">
        <v>365</v>
      </c>
      <c r="L75" s="45"/>
    </row>
    <row r="76" spans="1:12">
      <c r="A76" s="45">
        <v>71</v>
      </c>
      <c r="B76" s="224" t="s">
        <v>284</v>
      </c>
      <c r="C76" s="153"/>
      <c r="D76" s="230" t="s">
        <v>150</v>
      </c>
      <c r="E76" s="150">
        <v>540</v>
      </c>
      <c r="F76" t="s">
        <v>669</v>
      </c>
      <c r="G76" s="45"/>
      <c r="H76" s="45">
        <v>540</v>
      </c>
      <c r="I76" s="45">
        <v>630</v>
      </c>
      <c r="J76" s="45">
        <v>200</v>
      </c>
      <c r="K76" s="45">
        <v>500</v>
      </c>
      <c r="L76" s="45"/>
    </row>
    <row r="77" spans="1:12">
      <c r="A77" s="45">
        <v>72</v>
      </c>
      <c r="B77" s="224" t="s">
        <v>286</v>
      </c>
      <c r="C77" s="153"/>
      <c r="D77" s="230" t="s">
        <v>150</v>
      </c>
      <c r="E77" s="150">
        <v>308</v>
      </c>
      <c r="F77" t="s">
        <v>669</v>
      </c>
      <c r="G77" s="45"/>
      <c r="H77" s="45">
        <v>308</v>
      </c>
      <c r="I77" s="45">
        <v>310</v>
      </c>
      <c r="J77" s="45">
        <v>389</v>
      </c>
      <c r="K77" s="45"/>
      <c r="L77" s="45"/>
    </row>
    <row r="78" spans="1:12">
      <c r="A78" s="45">
        <v>73</v>
      </c>
      <c r="B78" s="224" t="s">
        <v>288</v>
      </c>
      <c r="C78" s="153"/>
      <c r="D78" s="230" t="s">
        <v>150</v>
      </c>
      <c r="E78" s="150">
        <v>54</v>
      </c>
      <c r="F78" t="s">
        <v>669</v>
      </c>
      <c r="G78" s="45">
        <v>360</v>
      </c>
      <c r="H78" s="45">
        <v>54</v>
      </c>
      <c r="I78" s="45">
        <v>56</v>
      </c>
      <c r="J78" s="45"/>
      <c r="K78" s="45"/>
      <c r="L78" s="45"/>
    </row>
    <row r="79" spans="1:12">
      <c r="A79" s="45">
        <v>74</v>
      </c>
      <c r="B79" s="224" t="s">
        <v>290</v>
      </c>
      <c r="C79" s="153"/>
      <c r="D79" s="230"/>
      <c r="E79" s="227"/>
      <c r="G79" s="45"/>
      <c r="H79" s="45"/>
      <c r="I79" s="45"/>
      <c r="J79" s="45"/>
      <c r="K79" s="45"/>
      <c r="L79" s="45"/>
    </row>
    <row r="80" spans="1:12">
      <c r="A80" s="54"/>
      <c r="B80" s="224" t="s">
        <v>291</v>
      </c>
      <c r="C80" s="153"/>
      <c r="D80" s="230" t="s">
        <v>150</v>
      </c>
      <c r="E80" s="228">
        <v>1060</v>
      </c>
      <c r="F80" t="s">
        <v>669</v>
      </c>
      <c r="G80" s="45"/>
      <c r="H80" s="45">
        <v>1060</v>
      </c>
      <c r="I80" s="45">
        <v>1060</v>
      </c>
      <c r="J80" s="45"/>
      <c r="K80" s="45"/>
      <c r="L80" s="45"/>
    </row>
    <row r="81" spans="1:12">
      <c r="A81" s="45">
        <v>75</v>
      </c>
      <c r="B81" s="224" t="s">
        <v>276</v>
      </c>
      <c r="C81" s="153"/>
      <c r="D81" s="230" t="s">
        <v>150</v>
      </c>
      <c r="E81" s="150">
        <v>190</v>
      </c>
      <c r="F81" t="s">
        <v>669</v>
      </c>
      <c r="G81" s="45"/>
      <c r="H81" s="45">
        <v>190</v>
      </c>
      <c r="I81" s="45">
        <v>210</v>
      </c>
      <c r="J81" s="45">
        <v>192</v>
      </c>
      <c r="K81" s="45">
        <v>16</v>
      </c>
      <c r="L81" s="45"/>
    </row>
    <row r="82" spans="1:12">
      <c r="A82" s="45">
        <v>76</v>
      </c>
      <c r="B82" s="224" t="s">
        <v>294</v>
      </c>
      <c r="C82" s="153"/>
      <c r="D82" s="230" t="s">
        <v>150</v>
      </c>
      <c r="E82" s="150">
        <v>780</v>
      </c>
      <c r="F82" t="s">
        <v>669</v>
      </c>
      <c r="G82" s="45"/>
      <c r="H82" s="45">
        <v>780</v>
      </c>
      <c r="I82" s="45">
        <v>810</v>
      </c>
      <c r="J82" s="45"/>
      <c r="K82" s="45"/>
      <c r="L82" s="45"/>
    </row>
    <row r="83" spans="1:12">
      <c r="A83" s="45">
        <v>77</v>
      </c>
      <c r="B83" s="224" t="s">
        <v>296</v>
      </c>
      <c r="C83" s="153"/>
      <c r="D83" s="230" t="s">
        <v>150</v>
      </c>
      <c r="E83" s="150">
        <v>150</v>
      </c>
      <c r="F83" t="s">
        <v>669</v>
      </c>
      <c r="G83" s="45"/>
      <c r="H83" s="45">
        <v>150</v>
      </c>
      <c r="I83" s="45">
        <v>165</v>
      </c>
      <c r="J83" s="45"/>
      <c r="K83" s="45"/>
      <c r="L83" s="45"/>
    </row>
    <row r="84" spans="1:12">
      <c r="A84" s="45">
        <v>78</v>
      </c>
      <c r="B84" s="77" t="s">
        <v>298</v>
      </c>
      <c r="C84" s="153"/>
      <c r="D84" s="230" t="s">
        <v>320</v>
      </c>
      <c r="E84" s="150">
        <v>2508</v>
      </c>
      <c r="F84" t="s">
        <v>669</v>
      </c>
      <c r="G84" s="45"/>
      <c r="H84" s="45">
        <v>2508</v>
      </c>
      <c r="I84" s="45">
        <v>2535</v>
      </c>
      <c r="J84" s="45"/>
      <c r="K84" s="45">
        <v>100</v>
      </c>
      <c r="L84" s="45"/>
    </row>
    <row r="85" spans="1:12">
      <c r="A85" s="45">
        <v>79</v>
      </c>
      <c r="B85" s="77" t="s">
        <v>300</v>
      </c>
      <c r="C85" s="153"/>
      <c r="D85" s="230" t="s">
        <v>320</v>
      </c>
      <c r="E85" s="150">
        <v>24000</v>
      </c>
      <c r="F85" t="s">
        <v>669</v>
      </c>
      <c r="G85" s="45"/>
      <c r="H85" s="45" t="s">
        <v>670</v>
      </c>
      <c r="I85" s="45">
        <v>24000</v>
      </c>
      <c r="J85" s="45">
        <v>370</v>
      </c>
      <c r="K85" s="45"/>
      <c r="L85" s="45"/>
    </row>
    <row r="86" spans="1:12">
      <c r="A86" s="45">
        <v>80</v>
      </c>
      <c r="B86" s="77" t="s">
        <v>302</v>
      </c>
      <c r="C86" s="153"/>
      <c r="D86" s="230" t="s">
        <v>320</v>
      </c>
      <c r="E86" s="150">
        <v>24961</v>
      </c>
      <c r="F86" t="s">
        <v>669</v>
      </c>
      <c r="G86" s="45"/>
      <c r="H86" s="45"/>
      <c r="I86" s="45">
        <v>24961</v>
      </c>
      <c r="J86" s="45"/>
      <c r="K86" s="45"/>
      <c r="L86" s="45"/>
    </row>
    <row r="87" spans="1:12">
      <c r="A87" s="45">
        <v>81</v>
      </c>
      <c r="B87" s="77" t="s">
        <v>304</v>
      </c>
      <c r="C87" s="153"/>
      <c r="D87" s="230" t="s">
        <v>320</v>
      </c>
      <c r="E87" s="150">
        <v>3390</v>
      </c>
      <c r="F87" t="s">
        <v>669</v>
      </c>
      <c r="G87" s="45"/>
      <c r="H87" s="45">
        <v>3390</v>
      </c>
      <c r="I87" s="45">
        <v>3390</v>
      </c>
      <c r="J87" s="45"/>
      <c r="K87" s="45"/>
      <c r="L87" s="45"/>
    </row>
    <row r="88" spans="1:12">
      <c r="A88" s="45">
        <v>82</v>
      </c>
      <c r="B88" s="77" t="s">
        <v>306</v>
      </c>
      <c r="C88" s="153"/>
      <c r="D88" s="230" t="s">
        <v>149</v>
      </c>
      <c r="E88" s="150">
        <v>147</v>
      </c>
      <c r="F88" t="s">
        <v>669</v>
      </c>
      <c r="G88" s="45"/>
      <c r="H88" s="45">
        <v>147</v>
      </c>
      <c r="I88" s="45">
        <v>153</v>
      </c>
      <c r="J88" s="45"/>
      <c r="K88" s="45">
        <v>55</v>
      </c>
      <c r="L88" s="45"/>
    </row>
    <row r="89" spans="1:12">
      <c r="A89" s="45">
        <v>83</v>
      </c>
      <c r="B89" s="77" t="s">
        <v>308</v>
      </c>
      <c r="C89" s="153"/>
      <c r="D89" s="230" t="s">
        <v>149</v>
      </c>
      <c r="E89" s="150">
        <v>325</v>
      </c>
      <c r="F89" t="s">
        <v>669</v>
      </c>
      <c r="G89" s="45">
        <v>175</v>
      </c>
      <c r="H89" s="45">
        <v>325</v>
      </c>
      <c r="I89" s="45">
        <v>335</v>
      </c>
      <c r="J89" s="45">
        <v>368</v>
      </c>
      <c r="K89" s="45">
        <v>208.5</v>
      </c>
      <c r="L89" s="45"/>
    </row>
    <row r="90" spans="1:12">
      <c r="A90" s="45">
        <v>84</v>
      </c>
      <c r="B90" s="77" t="s">
        <v>310</v>
      </c>
      <c r="C90" s="153"/>
      <c r="D90" s="230" t="s">
        <v>149</v>
      </c>
      <c r="E90" s="150">
        <v>450</v>
      </c>
      <c r="F90" t="s">
        <v>669</v>
      </c>
      <c r="G90" s="45">
        <v>133.5</v>
      </c>
      <c r="H90" s="45">
        <v>450</v>
      </c>
      <c r="I90" s="45">
        <v>165</v>
      </c>
      <c r="J90" s="45"/>
      <c r="K90" s="45">
        <v>140</v>
      </c>
      <c r="L90" s="45"/>
    </row>
    <row r="91" spans="1:12">
      <c r="A91" s="45">
        <v>85</v>
      </c>
      <c r="B91" s="77" t="s">
        <v>312</v>
      </c>
      <c r="C91" s="153"/>
      <c r="D91" s="230" t="s">
        <v>149</v>
      </c>
      <c r="E91" s="150">
        <v>345</v>
      </c>
      <c r="F91" t="s">
        <v>669</v>
      </c>
      <c r="G91" s="45"/>
      <c r="H91" s="45">
        <v>345</v>
      </c>
      <c r="I91" s="45">
        <v>765</v>
      </c>
      <c r="J91" s="45">
        <v>440</v>
      </c>
      <c r="K91" s="45">
        <v>105</v>
      </c>
      <c r="L91" s="45"/>
    </row>
    <row r="92" spans="1:12">
      <c r="A92" s="45">
        <v>86</v>
      </c>
      <c r="B92" s="77" t="s">
        <v>314</v>
      </c>
      <c r="C92" s="153"/>
      <c r="D92" s="230" t="s">
        <v>149</v>
      </c>
      <c r="E92" s="150">
        <v>17</v>
      </c>
      <c r="F92" t="s">
        <v>669</v>
      </c>
      <c r="G92" s="45"/>
      <c r="H92" s="45">
        <v>20</v>
      </c>
      <c r="I92" s="45">
        <v>18</v>
      </c>
      <c r="J92" s="45"/>
      <c r="K92" s="45">
        <v>7</v>
      </c>
      <c r="L92" s="45"/>
    </row>
    <row r="93" spans="1:12">
      <c r="A93" s="45">
        <v>87</v>
      </c>
      <c r="B93" s="77" t="s">
        <v>316</v>
      </c>
      <c r="C93" s="153"/>
      <c r="D93" s="230" t="s">
        <v>149</v>
      </c>
      <c r="E93" s="150">
        <v>2400</v>
      </c>
      <c r="F93" t="s">
        <v>669</v>
      </c>
      <c r="G93" s="45"/>
      <c r="H93" s="45">
        <v>2800</v>
      </c>
      <c r="I93" s="45">
        <v>2729</v>
      </c>
      <c r="J93" s="45">
        <v>4300</v>
      </c>
      <c r="K93" s="45"/>
      <c r="L93" s="45"/>
    </row>
    <row r="94" spans="1:12">
      <c r="A94" s="45">
        <v>88</v>
      </c>
      <c r="B94" s="77" t="s">
        <v>318</v>
      </c>
      <c r="C94" s="153"/>
      <c r="D94" s="230" t="s">
        <v>149</v>
      </c>
      <c r="E94" s="150">
        <v>13</v>
      </c>
      <c r="F94" t="s">
        <v>669</v>
      </c>
      <c r="G94" s="45"/>
      <c r="H94" s="45">
        <v>10</v>
      </c>
      <c r="I94" s="45">
        <v>18</v>
      </c>
      <c r="J94" s="45">
        <v>30</v>
      </c>
      <c r="K94" s="45"/>
      <c r="L94" s="45"/>
    </row>
    <row r="95" spans="1:12">
      <c r="A95" s="45">
        <v>89</v>
      </c>
      <c r="B95" s="77" t="s">
        <v>559</v>
      </c>
      <c r="C95" s="153"/>
      <c r="D95" s="230" t="s">
        <v>320</v>
      </c>
      <c r="E95" s="150">
        <v>50</v>
      </c>
      <c r="F95" t="s">
        <v>668</v>
      </c>
      <c r="G95" s="45">
        <v>45</v>
      </c>
      <c r="H95" s="45">
        <v>50</v>
      </c>
      <c r="I95" s="45">
        <v>55</v>
      </c>
      <c r="J95" s="45">
        <v>100</v>
      </c>
      <c r="K95" s="45"/>
      <c r="L95" s="45"/>
    </row>
    <row r="96" spans="1:12">
      <c r="A96" s="45">
        <v>90</v>
      </c>
      <c r="B96" s="77" t="s">
        <v>560</v>
      </c>
      <c r="C96" s="153"/>
      <c r="D96" s="230" t="s">
        <v>561</v>
      </c>
      <c r="E96" s="150">
        <v>20</v>
      </c>
      <c r="F96" t="s">
        <v>669</v>
      </c>
      <c r="G96" s="45"/>
      <c r="H96" s="45">
        <v>20</v>
      </c>
      <c r="I96" s="45">
        <v>18</v>
      </c>
      <c r="J96" s="45">
        <v>20</v>
      </c>
      <c r="K96" s="45">
        <v>17</v>
      </c>
      <c r="L96" s="45"/>
    </row>
    <row r="97" spans="1:12">
      <c r="A97" s="45">
        <v>91</v>
      </c>
      <c r="B97" s="77" t="s">
        <v>562</v>
      </c>
      <c r="C97" s="153"/>
      <c r="D97" s="230" t="s">
        <v>149</v>
      </c>
      <c r="E97" s="150">
        <v>18</v>
      </c>
      <c r="F97" t="s">
        <v>669</v>
      </c>
      <c r="G97" s="45"/>
      <c r="H97" s="45"/>
      <c r="I97" s="45">
        <v>20</v>
      </c>
      <c r="J97" s="45">
        <v>30</v>
      </c>
      <c r="K97" s="45">
        <v>16</v>
      </c>
      <c r="L97" s="45"/>
    </row>
    <row r="98" spans="1:12">
      <c r="A98" s="45">
        <v>92</v>
      </c>
      <c r="B98" s="77" t="s">
        <v>563</v>
      </c>
      <c r="C98" s="153"/>
      <c r="D98" s="230" t="s">
        <v>149</v>
      </c>
      <c r="E98" s="150">
        <v>275</v>
      </c>
      <c r="F98" t="s">
        <v>669</v>
      </c>
      <c r="G98" s="45">
        <v>170</v>
      </c>
      <c r="H98" s="45">
        <v>275</v>
      </c>
      <c r="I98" s="45">
        <v>250</v>
      </c>
      <c r="J98" s="45">
        <v>340</v>
      </c>
      <c r="K98" s="45">
        <v>160</v>
      </c>
      <c r="L98" s="45"/>
    </row>
    <row r="99" spans="1:12">
      <c r="A99" s="45">
        <v>93</v>
      </c>
      <c r="B99" s="77" t="s">
        <v>564</v>
      </c>
      <c r="C99" s="153"/>
      <c r="D99" s="230" t="s">
        <v>149</v>
      </c>
      <c r="E99" s="150">
        <v>265</v>
      </c>
      <c r="F99" t="s">
        <v>669</v>
      </c>
      <c r="G99" s="45"/>
      <c r="H99" s="45">
        <v>180</v>
      </c>
      <c r="I99" s="45">
        <v>320</v>
      </c>
      <c r="J99" s="45">
        <v>265</v>
      </c>
      <c r="K99" s="45">
        <v>150</v>
      </c>
      <c r="L99" s="45"/>
    </row>
    <row r="100" spans="1:12">
      <c r="A100" s="45">
        <v>94</v>
      </c>
      <c r="B100" s="77" t="s">
        <v>566</v>
      </c>
      <c r="C100" s="153"/>
      <c r="D100" s="230" t="s">
        <v>149</v>
      </c>
      <c r="E100" s="150">
        <v>435</v>
      </c>
      <c r="F100" t="s">
        <v>669</v>
      </c>
      <c r="G100" s="45">
        <v>193</v>
      </c>
      <c r="H100" s="45">
        <v>280</v>
      </c>
      <c r="I100" s="45">
        <v>540</v>
      </c>
      <c r="J100" s="45">
        <v>490</v>
      </c>
      <c r="K100" s="45">
        <v>410</v>
      </c>
      <c r="L100" s="45"/>
    </row>
    <row r="101" spans="1:12">
      <c r="A101" s="45">
        <v>95</v>
      </c>
      <c r="B101" s="77" t="s">
        <v>567</v>
      </c>
      <c r="C101" s="153"/>
      <c r="D101" s="230" t="s">
        <v>149</v>
      </c>
      <c r="E101" s="150">
        <v>400</v>
      </c>
      <c r="F101" t="s">
        <v>669</v>
      </c>
      <c r="G101" s="45"/>
      <c r="H101" s="45">
        <v>400</v>
      </c>
      <c r="I101" s="45">
        <v>285</v>
      </c>
      <c r="J101" s="45">
        <v>400</v>
      </c>
      <c r="K101" s="45"/>
      <c r="L101" s="45"/>
    </row>
    <row r="102" spans="1:12">
      <c r="A102" s="45">
        <v>96</v>
      </c>
      <c r="B102" s="77" t="s">
        <v>569</v>
      </c>
      <c r="C102" s="153"/>
      <c r="D102" s="230" t="s">
        <v>150</v>
      </c>
      <c r="E102" s="150">
        <v>40</v>
      </c>
      <c r="F102" t="s">
        <v>669</v>
      </c>
      <c r="G102" s="45">
        <v>16.329999999999998</v>
      </c>
      <c r="H102" s="45">
        <v>30</v>
      </c>
      <c r="I102" s="45">
        <v>40</v>
      </c>
      <c r="J102" s="45">
        <v>54</v>
      </c>
      <c r="K102" s="45">
        <v>44</v>
      </c>
      <c r="L102" s="45"/>
    </row>
    <row r="103" spans="1:12">
      <c r="A103" s="45">
        <v>97</v>
      </c>
      <c r="B103" s="77" t="s">
        <v>570</v>
      </c>
      <c r="C103" s="153"/>
      <c r="D103" s="230" t="s">
        <v>571</v>
      </c>
      <c r="E103" s="150">
        <v>65</v>
      </c>
      <c r="F103" t="s">
        <v>669</v>
      </c>
      <c r="G103" s="45">
        <v>45</v>
      </c>
      <c r="H103" s="45">
        <v>65</v>
      </c>
      <c r="I103" s="45">
        <v>70</v>
      </c>
      <c r="J103" s="45"/>
      <c r="K103" s="45">
        <v>62</v>
      </c>
      <c r="L103" s="45"/>
    </row>
    <row r="104" spans="1:12">
      <c r="A104" s="45">
        <v>98</v>
      </c>
      <c r="B104" s="77" t="s">
        <v>572</v>
      </c>
      <c r="C104" s="153"/>
      <c r="D104" s="230" t="s">
        <v>571</v>
      </c>
      <c r="E104" s="150">
        <v>36</v>
      </c>
      <c r="F104" t="s">
        <v>669</v>
      </c>
      <c r="G104" s="45">
        <v>28.8</v>
      </c>
      <c r="H104" s="45">
        <v>36</v>
      </c>
      <c r="I104" s="45">
        <v>45</v>
      </c>
      <c r="J104" s="45">
        <v>38</v>
      </c>
      <c r="K104" s="45">
        <v>25</v>
      </c>
      <c r="L104" s="45"/>
    </row>
    <row r="105" spans="1:12">
      <c r="A105" s="45">
        <v>99</v>
      </c>
      <c r="B105" s="77" t="s">
        <v>573</v>
      </c>
      <c r="C105" s="153"/>
      <c r="D105" s="230" t="s">
        <v>571</v>
      </c>
      <c r="E105" s="150">
        <v>32</v>
      </c>
      <c r="F105" t="s">
        <v>669</v>
      </c>
      <c r="G105" s="45">
        <v>30</v>
      </c>
      <c r="H105" s="45">
        <v>32</v>
      </c>
      <c r="I105" s="45">
        <v>55</v>
      </c>
      <c r="J105" s="45">
        <v>71</v>
      </c>
      <c r="K105" s="45">
        <v>33</v>
      </c>
      <c r="L105" s="45"/>
    </row>
    <row r="106" spans="1:12">
      <c r="A106" s="45">
        <v>100</v>
      </c>
      <c r="B106" s="77" t="s">
        <v>575</v>
      </c>
      <c r="C106" s="153"/>
      <c r="D106" s="230" t="s">
        <v>149</v>
      </c>
      <c r="E106" s="150">
        <v>180</v>
      </c>
      <c r="F106" t="s">
        <v>669</v>
      </c>
      <c r="G106" s="45"/>
      <c r="H106" s="45">
        <v>180</v>
      </c>
      <c r="I106" s="45"/>
      <c r="J106" s="45"/>
      <c r="K106" s="45"/>
      <c r="L106" s="45"/>
    </row>
    <row r="107" spans="1:12">
      <c r="A107" s="45">
        <v>101</v>
      </c>
      <c r="B107" s="77" t="s">
        <v>574</v>
      </c>
      <c r="C107" s="153"/>
      <c r="D107" s="230" t="s">
        <v>149</v>
      </c>
      <c r="E107" s="150">
        <v>25</v>
      </c>
      <c r="F107" t="s">
        <v>669</v>
      </c>
      <c r="G107" s="45"/>
      <c r="H107" s="45">
        <v>25</v>
      </c>
      <c r="I107" s="45">
        <v>20</v>
      </c>
      <c r="J107" s="45">
        <v>26</v>
      </c>
      <c r="K107" s="45">
        <v>25</v>
      </c>
      <c r="L107" s="45"/>
    </row>
    <row r="108" spans="1:12">
      <c r="A108" s="45">
        <v>102</v>
      </c>
      <c r="B108" s="77" t="s">
        <v>576</v>
      </c>
      <c r="C108" s="153"/>
      <c r="D108" s="230" t="s">
        <v>149</v>
      </c>
      <c r="E108" s="150">
        <v>70</v>
      </c>
      <c r="F108" t="s">
        <v>669</v>
      </c>
      <c r="G108" s="45"/>
      <c r="H108" s="45">
        <v>110</v>
      </c>
      <c r="I108" s="45">
        <v>115</v>
      </c>
      <c r="J108" s="45">
        <v>275</v>
      </c>
      <c r="K108" s="45">
        <v>75</v>
      </c>
      <c r="L108" s="45"/>
    </row>
    <row r="109" spans="1:12">
      <c r="A109" s="45">
        <v>103</v>
      </c>
      <c r="B109" s="77" t="s">
        <v>604</v>
      </c>
      <c r="C109" s="153"/>
      <c r="D109" s="230" t="s">
        <v>149</v>
      </c>
      <c r="E109" s="150">
        <v>50</v>
      </c>
      <c r="G109" s="45">
        <v>39</v>
      </c>
      <c r="H109" s="45">
        <v>230</v>
      </c>
      <c r="I109" s="45">
        <v>55</v>
      </c>
      <c r="J109" s="45">
        <v>70</v>
      </c>
      <c r="K109" s="45">
        <v>47</v>
      </c>
      <c r="L109" s="45"/>
    </row>
    <row r="110" spans="1:12">
      <c r="A110" s="45">
        <v>104</v>
      </c>
      <c r="B110" s="77" t="s">
        <v>605</v>
      </c>
      <c r="C110" s="153"/>
      <c r="D110" s="230" t="s">
        <v>149</v>
      </c>
      <c r="E110" s="150">
        <v>50</v>
      </c>
      <c r="G110" s="45"/>
      <c r="H110" s="45">
        <v>60</v>
      </c>
      <c r="I110" s="45">
        <v>65</v>
      </c>
      <c r="J110" s="45">
        <v>62</v>
      </c>
      <c r="K110" s="45">
        <v>55</v>
      </c>
      <c r="L110" s="45"/>
    </row>
    <row r="111" spans="1:12">
      <c r="A111" s="45">
        <v>105</v>
      </c>
      <c r="B111" s="77" t="s">
        <v>606</v>
      </c>
      <c r="C111" s="153"/>
      <c r="D111" s="230" t="s">
        <v>607</v>
      </c>
      <c r="E111" s="150">
        <v>230</v>
      </c>
      <c r="G111" s="45"/>
      <c r="H111" s="45"/>
      <c r="I111" s="45">
        <v>230</v>
      </c>
      <c r="J111" s="45">
        <v>230</v>
      </c>
      <c r="K111" s="45">
        <v>230</v>
      </c>
      <c r="L111" s="45"/>
    </row>
    <row r="112" spans="1:12">
      <c r="A112" s="45">
        <v>106</v>
      </c>
      <c r="B112" s="77" t="s">
        <v>608</v>
      </c>
      <c r="C112" s="153"/>
      <c r="D112" s="230" t="s">
        <v>609</v>
      </c>
      <c r="E112" s="150">
        <v>340</v>
      </c>
      <c r="G112" s="45">
        <v>480</v>
      </c>
      <c r="H112" s="45">
        <v>420</v>
      </c>
      <c r="I112" s="45">
        <v>450</v>
      </c>
      <c r="J112" s="45">
        <v>480</v>
      </c>
      <c r="K112" s="45">
        <v>450</v>
      </c>
      <c r="L112" s="45"/>
    </row>
    <row r="113" spans="1:12">
      <c r="A113" s="45">
        <v>107</v>
      </c>
      <c r="B113" s="77" t="s">
        <v>610</v>
      </c>
      <c r="C113" s="153"/>
      <c r="D113" s="230" t="s">
        <v>609</v>
      </c>
      <c r="E113" s="150">
        <v>300</v>
      </c>
      <c r="G113" s="45">
        <v>311.36</v>
      </c>
      <c r="H113" s="45">
        <v>360</v>
      </c>
      <c r="I113" s="45">
        <v>380</v>
      </c>
      <c r="J113" s="45">
        <v>300</v>
      </c>
      <c r="K113" s="45"/>
      <c r="L113" s="45"/>
    </row>
    <row r="114" spans="1:12">
      <c r="A114" s="45">
        <v>108</v>
      </c>
      <c r="B114" s="77" t="s">
        <v>611</v>
      </c>
      <c r="C114" s="153"/>
      <c r="D114" s="230" t="s">
        <v>149</v>
      </c>
      <c r="E114" s="150">
        <v>57</v>
      </c>
      <c r="G114" s="45">
        <v>80</v>
      </c>
      <c r="H114" s="45">
        <v>60</v>
      </c>
      <c r="I114" s="45">
        <v>60</v>
      </c>
      <c r="J114" s="45">
        <v>140</v>
      </c>
      <c r="K114" s="45">
        <v>80.5</v>
      </c>
      <c r="L114" s="45"/>
    </row>
    <row r="115" spans="1:12">
      <c r="A115" s="45">
        <v>109</v>
      </c>
      <c r="B115" s="77" t="s">
        <v>612</v>
      </c>
      <c r="C115" s="153"/>
      <c r="D115" s="230" t="s">
        <v>613</v>
      </c>
      <c r="E115" s="150">
        <v>30</v>
      </c>
      <c r="G115" s="45">
        <v>50</v>
      </c>
      <c r="H115" s="45">
        <v>30</v>
      </c>
      <c r="I115" s="45">
        <v>35</v>
      </c>
      <c r="J115" s="45">
        <v>48</v>
      </c>
      <c r="K115" s="45">
        <v>12</v>
      </c>
      <c r="L115" s="45"/>
    </row>
    <row r="116" spans="1:12">
      <c r="A116" s="45">
        <v>110</v>
      </c>
      <c r="B116" s="77" t="s">
        <v>614</v>
      </c>
      <c r="C116" s="153"/>
      <c r="D116" s="230" t="s">
        <v>149</v>
      </c>
      <c r="E116" s="150">
        <v>700</v>
      </c>
      <c r="G116" s="45"/>
      <c r="H116" s="45">
        <v>700.8</v>
      </c>
      <c r="I116" s="45">
        <v>720</v>
      </c>
      <c r="J116" s="45">
        <v>205</v>
      </c>
      <c r="K116" s="45">
        <v>1083</v>
      </c>
      <c r="L116" s="45"/>
    </row>
    <row r="117" spans="1:12">
      <c r="A117" s="45">
        <v>111</v>
      </c>
      <c r="B117" s="77" t="s">
        <v>615</v>
      </c>
      <c r="C117" s="153"/>
      <c r="D117" s="230" t="s">
        <v>408</v>
      </c>
      <c r="E117" s="150">
        <v>24</v>
      </c>
      <c r="G117" s="45"/>
      <c r="H117" s="45">
        <v>30</v>
      </c>
      <c r="I117" s="45"/>
      <c r="J117" s="45">
        <v>75</v>
      </c>
      <c r="K117" s="45">
        <v>24.25</v>
      </c>
      <c r="L117" s="45"/>
    </row>
    <row r="118" spans="1:12">
      <c r="A118" s="45">
        <v>112</v>
      </c>
      <c r="B118" s="77" t="s">
        <v>671</v>
      </c>
      <c r="C118" s="153"/>
      <c r="D118" s="230" t="s">
        <v>150</v>
      </c>
      <c r="E118" s="150"/>
      <c r="G118" s="45">
        <v>142.1</v>
      </c>
      <c r="H118" s="45"/>
      <c r="I118" s="45"/>
      <c r="J118" s="45"/>
      <c r="K118" s="45"/>
      <c r="L118" s="45"/>
    </row>
    <row r="119" spans="1:12">
      <c r="A119" s="45">
        <v>113</v>
      </c>
      <c r="B119" s="77" t="s">
        <v>672</v>
      </c>
      <c r="C119" s="153"/>
      <c r="D119" s="230" t="s">
        <v>673</v>
      </c>
      <c r="E119" s="150"/>
      <c r="F119">
        <v>1044.7</v>
      </c>
      <c r="G119" s="45"/>
      <c r="H119" s="45"/>
      <c r="I119" s="45"/>
      <c r="J119" s="45"/>
      <c r="K119" s="45"/>
      <c r="L119" s="45"/>
    </row>
    <row r="120" spans="1:12">
      <c r="A120" s="45">
        <v>114</v>
      </c>
      <c r="B120" s="77" t="s">
        <v>674</v>
      </c>
      <c r="C120" s="153"/>
      <c r="D120" s="230" t="s">
        <v>673</v>
      </c>
      <c r="E120" s="150"/>
      <c r="F120">
        <v>660.4</v>
      </c>
      <c r="G120" s="45"/>
      <c r="H120" s="45"/>
      <c r="I120" s="45"/>
      <c r="J120" s="45"/>
      <c r="K120" s="45"/>
      <c r="L120" s="45"/>
    </row>
    <row r="121" spans="1:12">
      <c r="A121" s="301">
        <v>115</v>
      </c>
      <c r="B121" s="71"/>
      <c r="C121" s="26"/>
      <c r="D121" s="145"/>
      <c r="E121" s="47"/>
    </row>
    <row r="122" spans="1:12">
      <c r="B122" s="302"/>
    </row>
  </sheetData>
  <mergeCells count="5">
    <mergeCell ref="B42:C42"/>
    <mergeCell ref="G3:L3"/>
    <mergeCell ref="B3:C3"/>
    <mergeCell ref="B4:C4"/>
    <mergeCell ref="B5:C5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3"/>
  <sheetViews>
    <sheetView topLeftCell="A49" workbookViewId="0">
      <selection activeCell="K58" sqref="K58"/>
    </sheetView>
  </sheetViews>
  <sheetFormatPr defaultRowHeight="12.75"/>
  <cols>
    <col min="1" max="1" width="4.140625" customWidth="1"/>
    <col min="2" max="2" width="9.140625" style="242"/>
    <col min="3" max="3" width="16.140625" style="242" customWidth="1"/>
    <col min="4" max="4" width="5" style="242" bestFit="1" customWidth="1"/>
    <col min="5" max="5" width="9.140625" style="243"/>
    <col min="6" max="6" width="5" bestFit="1" customWidth="1"/>
    <col min="7" max="7" width="4.5703125" customWidth="1"/>
    <col min="9" max="9" width="17.7109375" customWidth="1"/>
    <col min="10" max="10" width="5" bestFit="1" customWidth="1"/>
    <col min="11" max="11" width="10.28515625" bestFit="1" customWidth="1"/>
  </cols>
  <sheetData>
    <row r="1" spans="1:11">
      <c r="A1" t="s">
        <v>217</v>
      </c>
    </row>
    <row r="2" spans="1:11" ht="13.5" thickBot="1"/>
    <row r="3" spans="1:11">
      <c r="A3" s="66"/>
      <c r="B3" s="235"/>
      <c r="C3" s="236"/>
      <c r="D3" s="60"/>
      <c r="E3" s="244"/>
      <c r="G3" s="66"/>
      <c r="H3" s="384"/>
      <c r="I3" s="385"/>
      <c r="J3" s="60"/>
      <c r="K3" s="122"/>
    </row>
    <row r="4" spans="1:11">
      <c r="A4" s="68" t="s">
        <v>71</v>
      </c>
      <c r="B4" s="237" t="s">
        <v>72</v>
      </c>
      <c r="C4" s="238"/>
      <c r="D4" s="61" t="s">
        <v>99</v>
      </c>
      <c r="E4" s="123" t="s">
        <v>88</v>
      </c>
      <c r="G4" s="68" t="s">
        <v>71</v>
      </c>
      <c r="H4" s="386" t="s">
        <v>72</v>
      </c>
      <c r="I4" s="387"/>
      <c r="J4" s="61" t="s">
        <v>99</v>
      </c>
      <c r="K4" s="123" t="s">
        <v>88</v>
      </c>
    </row>
    <row r="5" spans="1:11">
      <c r="A5" s="68" t="s">
        <v>73</v>
      </c>
      <c r="B5" s="237" t="s">
        <v>74</v>
      </c>
      <c r="C5" s="238"/>
      <c r="D5" s="61" t="s">
        <v>100</v>
      </c>
      <c r="E5" s="245" t="s">
        <v>89</v>
      </c>
      <c r="G5" s="68" t="s">
        <v>73</v>
      </c>
      <c r="H5" s="386" t="s">
        <v>74</v>
      </c>
      <c r="I5" s="387"/>
      <c r="J5" s="61" t="s">
        <v>100</v>
      </c>
      <c r="K5" s="124" t="s">
        <v>89</v>
      </c>
    </row>
    <row r="6" spans="1:11" ht="13.5" thickBot="1">
      <c r="A6" s="67"/>
      <c r="B6" s="239"/>
      <c r="C6" s="240"/>
      <c r="D6" s="62"/>
      <c r="E6" s="246"/>
      <c r="G6" s="67"/>
      <c r="H6" s="386"/>
      <c r="I6" s="387"/>
      <c r="J6" s="62"/>
      <c r="K6" s="125"/>
    </row>
    <row r="7" spans="1:11">
      <c r="A7" s="54">
        <v>1</v>
      </c>
      <c r="B7" s="241" t="s">
        <v>558</v>
      </c>
      <c r="C7" s="253"/>
      <c r="D7" s="255" t="s">
        <v>218</v>
      </c>
      <c r="E7" s="254">
        <f ca="1">'Цены ЖЭУ'!I6</f>
        <v>140</v>
      </c>
      <c r="G7" s="45">
        <v>57</v>
      </c>
      <c r="H7" s="225" t="s">
        <v>263</v>
      </c>
      <c r="I7" s="226"/>
      <c r="J7" s="229" t="s">
        <v>319</v>
      </c>
      <c r="K7" s="150">
        <v>101</v>
      </c>
    </row>
    <row r="8" spans="1:11">
      <c r="A8" s="45">
        <v>2</v>
      </c>
      <c r="B8" s="121" t="s">
        <v>80</v>
      </c>
      <c r="C8" s="154"/>
      <c r="D8" s="256" t="s">
        <v>218</v>
      </c>
      <c r="E8" s="248">
        <f ca="1">'Цены ЖЭУ'!I7</f>
        <v>85</v>
      </c>
      <c r="G8" s="45">
        <v>58</v>
      </c>
      <c r="H8" s="224" t="s">
        <v>264</v>
      </c>
      <c r="I8" s="153"/>
      <c r="J8" s="230" t="s">
        <v>319</v>
      </c>
      <c r="K8" s="150">
        <v>123</v>
      </c>
    </row>
    <row r="9" spans="1:11">
      <c r="A9" s="54">
        <v>3</v>
      </c>
      <c r="B9" s="121" t="s">
        <v>83</v>
      </c>
      <c r="C9" s="154"/>
      <c r="D9" s="256" t="s">
        <v>218</v>
      </c>
      <c r="E9" s="248">
        <f ca="1">'Цены ЖЭУ'!E8</f>
        <v>60</v>
      </c>
      <c r="G9" s="45">
        <v>59</v>
      </c>
      <c r="H9" s="224" t="s">
        <v>265</v>
      </c>
      <c r="I9" s="153"/>
      <c r="J9" s="230" t="s">
        <v>319</v>
      </c>
      <c r="K9" s="150">
        <v>138</v>
      </c>
    </row>
    <row r="10" spans="1:11">
      <c r="A10" s="54">
        <v>4</v>
      </c>
      <c r="B10" s="121" t="s">
        <v>85</v>
      </c>
      <c r="C10" s="154"/>
      <c r="D10" s="256" t="s">
        <v>218</v>
      </c>
      <c r="E10" s="248">
        <f ca="1">'Цены ЖЭУ'!E9</f>
        <v>154</v>
      </c>
      <c r="G10" s="45">
        <v>60</v>
      </c>
      <c r="H10" s="224" t="s">
        <v>266</v>
      </c>
      <c r="I10" s="153"/>
      <c r="J10" s="230" t="s">
        <v>319</v>
      </c>
      <c r="K10" s="150">
        <v>175</v>
      </c>
    </row>
    <row r="11" spans="1:11">
      <c r="A11" s="45">
        <v>5</v>
      </c>
      <c r="B11" s="121" t="s">
        <v>87</v>
      </c>
      <c r="C11" s="154"/>
      <c r="D11" s="256" t="s">
        <v>218</v>
      </c>
      <c r="E11" s="248">
        <f ca="1">'Цены ЖЭУ'!E10</f>
        <v>150</v>
      </c>
      <c r="G11" s="45">
        <v>61</v>
      </c>
      <c r="H11" s="224" t="s">
        <v>267</v>
      </c>
      <c r="I11" s="153"/>
      <c r="J11" s="230" t="s">
        <v>319</v>
      </c>
      <c r="K11" s="150">
        <v>314</v>
      </c>
    </row>
    <row r="12" spans="1:11">
      <c r="A12" s="54">
        <v>6</v>
      </c>
      <c r="B12" s="148"/>
      <c r="C12" s="149"/>
      <c r="D12" s="256"/>
      <c r="E12" s="248"/>
      <c r="G12" s="45">
        <v>62</v>
      </c>
      <c r="H12" s="224" t="s">
        <v>268</v>
      </c>
      <c r="I12" s="153"/>
      <c r="J12" s="230" t="s">
        <v>150</v>
      </c>
      <c r="K12" s="150">
        <v>50</v>
      </c>
    </row>
    <row r="13" spans="1:11">
      <c r="A13" s="54">
        <v>7</v>
      </c>
      <c r="B13" s="148" t="s">
        <v>148</v>
      </c>
      <c r="C13" s="149"/>
      <c r="D13" s="256" t="s">
        <v>218</v>
      </c>
      <c r="E13" s="249">
        <f ca="1">'Цены ЖЭУ'!I12</f>
        <v>1100</v>
      </c>
      <c r="G13" s="45">
        <v>63</v>
      </c>
      <c r="H13" s="224" t="s">
        <v>270</v>
      </c>
      <c r="I13" s="153"/>
      <c r="J13" s="230" t="s">
        <v>150</v>
      </c>
      <c r="K13" s="150">
        <v>52</v>
      </c>
    </row>
    <row r="14" spans="1:11">
      <c r="A14" s="45">
        <v>8</v>
      </c>
      <c r="B14" s="151" t="s">
        <v>131</v>
      </c>
      <c r="C14" s="152"/>
      <c r="D14" s="256" t="s">
        <v>150</v>
      </c>
      <c r="E14" s="249">
        <f ca="1">'Цены ЖЭУ'!E13</f>
        <v>75</v>
      </c>
      <c r="G14" s="45">
        <v>64</v>
      </c>
      <c r="H14" s="224" t="s">
        <v>271</v>
      </c>
      <c r="I14" s="153"/>
      <c r="J14" s="230" t="s">
        <v>150</v>
      </c>
      <c r="K14" s="150">
        <v>80</v>
      </c>
    </row>
    <row r="15" spans="1:11">
      <c r="A15" s="54">
        <v>9</v>
      </c>
      <c r="B15" s="151" t="s">
        <v>172</v>
      </c>
      <c r="C15" s="152"/>
      <c r="D15" s="256"/>
      <c r="E15" s="249">
        <f ca="1">'Цены ЖЭУ'!E14</f>
        <v>120</v>
      </c>
      <c r="G15" s="45">
        <v>65</v>
      </c>
      <c r="H15" s="224" t="s">
        <v>272</v>
      </c>
      <c r="I15" s="153"/>
      <c r="J15" s="230" t="s">
        <v>150</v>
      </c>
      <c r="K15" s="150">
        <v>250</v>
      </c>
    </row>
    <row r="16" spans="1:11">
      <c r="A16" s="54">
        <v>10</v>
      </c>
      <c r="B16" s="121" t="s">
        <v>180</v>
      </c>
      <c r="C16" s="154"/>
      <c r="D16" s="257" t="s">
        <v>149</v>
      </c>
      <c r="E16" s="249">
        <f ca="1">'Цены ЖЭУ'!I15</f>
        <v>255</v>
      </c>
      <c r="G16" s="45">
        <v>66</v>
      </c>
      <c r="H16" s="224" t="s">
        <v>274</v>
      </c>
      <c r="I16" s="153"/>
      <c r="J16" s="230" t="s">
        <v>150</v>
      </c>
      <c r="K16" s="150">
        <v>380</v>
      </c>
    </row>
    <row r="17" spans="1:11">
      <c r="A17" s="45">
        <v>11</v>
      </c>
      <c r="B17" s="121" t="s">
        <v>181</v>
      </c>
      <c r="C17" s="154"/>
      <c r="D17" s="257" t="s">
        <v>149</v>
      </c>
      <c r="E17" s="248">
        <f ca="1">'Цены ЖЭУ'!H16</f>
        <v>220</v>
      </c>
      <c r="G17" s="45">
        <v>67</v>
      </c>
      <c r="H17" s="224" t="s">
        <v>276</v>
      </c>
      <c r="I17" s="153"/>
      <c r="J17" s="230" t="s">
        <v>150</v>
      </c>
      <c r="K17" s="150">
        <v>190</v>
      </c>
    </row>
    <row r="18" spans="1:11">
      <c r="A18" s="54">
        <v>12</v>
      </c>
      <c r="B18" s="121" t="s">
        <v>182</v>
      </c>
      <c r="C18" s="154"/>
      <c r="D18" s="257"/>
      <c r="E18" s="248">
        <f ca="1" xml:space="preserve"> 'Цены ЖЭУ'!E17</f>
        <v>67</v>
      </c>
      <c r="G18" s="45">
        <v>68</v>
      </c>
      <c r="H18" s="224" t="s">
        <v>278</v>
      </c>
      <c r="I18" s="153"/>
      <c r="J18" s="230" t="s">
        <v>150</v>
      </c>
      <c r="K18" s="150">
        <v>207</v>
      </c>
    </row>
    <row r="19" spans="1:11">
      <c r="A19" s="54">
        <v>13</v>
      </c>
      <c r="B19" s="148" t="s">
        <v>183</v>
      </c>
      <c r="C19" s="149"/>
      <c r="D19" s="258" t="s">
        <v>149</v>
      </c>
      <c r="E19" s="248">
        <f ca="1">E20/20</f>
        <v>0.65</v>
      </c>
      <c r="G19" s="45">
        <v>69</v>
      </c>
      <c r="H19" s="224" t="s">
        <v>280</v>
      </c>
      <c r="I19" s="153"/>
      <c r="J19" s="230" t="s">
        <v>150</v>
      </c>
      <c r="K19" s="150">
        <v>17</v>
      </c>
    </row>
    <row r="20" spans="1:11">
      <c r="D20" s="295" t="s">
        <v>659</v>
      </c>
      <c r="E20" s="243">
        <f ca="1">'Цены ЖЭУ'!E18</f>
        <v>13</v>
      </c>
      <c r="G20" s="45">
        <v>70</v>
      </c>
      <c r="H20" s="224" t="s">
        <v>282</v>
      </c>
      <c r="I20" s="153"/>
      <c r="J20" s="230" t="s">
        <v>150</v>
      </c>
      <c r="K20" s="150">
        <v>245</v>
      </c>
    </row>
    <row r="21" spans="1:11">
      <c r="A21" s="45">
        <v>14</v>
      </c>
      <c r="B21" s="148" t="s">
        <v>184</v>
      </c>
      <c r="C21" s="149"/>
      <c r="D21" s="258" t="s">
        <v>149</v>
      </c>
      <c r="E21" s="248">
        <f ca="1">'Цены ЖЭУ'!E19</f>
        <v>2100</v>
      </c>
      <c r="G21" s="45">
        <v>71</v>
      </c>
      <c r="H21" s="224" t="s">
        <v>284</v>
      </c>
      <c r="I21" s="153"/>
      <c r="J21" s="230" t="s">
        <v>150</v>
      </c>
      <c r="K21" s="150">
        <v>540</v>
      </c>
    </row>
    <row r="22" spans="1:11">
      <c r="A22" s="54">
        <v>15</v>
      </c>
      <c r="B22" s="121" t="s">
        <v>565</v>
      </c>
      <c r="C22" s="154"/>
      <c r="D22" s="257" t="s">
        <v>149</v>
      </c>
      <c r="E22" s="248">
        <f ca="1">'Цены ЖЭУ'!I20</f>
        <v>950</v>
      </c>
      <c r="G22" s="45">
        <v>72</v>
      </c>
      <c r="H22" s="224" t="s">
        <v>286</v>
      </c>
      <c r="I22" s="153"/>
      <c r="J22" s="230" t="s">
        <v>150</v>
      </c>
      <c r="K22" s="150">
        <v>308</v>
      </c>
    </row>
    <row r="23" spans="1:11">
      <c r="A23" s="54">
        <v>16</v>
      </c>
      <c r="B23" s="121" t="s">
        <v>202</v>
      </c>
      <c r="C23" s="154"/>
      <c r="D23" s="257" t="s">
        <v>149</v>
      </c>
      <c r="E23" s="248">
        <f ca="1">'Цены ЖЭУ'!E21</f>
        <v>245</v>
      </c>
      <c r="G23" s="45">
        <v>73</v>
      </c>
      <c r="H23" s="224" t="s">
        <v>288</v>
      </c>
      <c r="I23" s="153"/>
      <c r="J23" s="230" t="s">
        <v>150</v>
      </c>
      <c r="K23" s="150">
        <v>54</v>
      </c>
    </row>
    <row r="24" spans="1:11">
      <c r="A24" s="45">
        <v>17</v>
      </c>
      <c r="B24" s="148" t="s">
        <v>568</v>
      </c>
      <c r="C24" s="149"/>
      <c r="D24" s="258" t="s">
        <v>149</v>
      </c>
      <c r="E24" s="248">
        <f ca="1">'Цены ЖЭУ'!E22</f>
        <v>1480</v>
      </c>
      <c r="G24" s="45">
        <v>74</v>
      </c>
      <c r="H24" s="224" t="s">
        <v>290</v>
      </c>
      <c r="I24" s="153"/>
      <c r="J24" s="230"/>
      <c r="K24" s="227"/>
    </row>
    <row r="25" spans="1:11">
      <c r="A25" s="45">
        <v>18</v>
      </c>
      <c r="B25" s="152"/>
      <c r="C25" s="152"/>
      <c r="D25" s="256"/>
      <c r="E25" s="248"/>
      <c r="G25" s="54"/>
      <c r="H25" s="224" t="s">
        <v>291</v>
      </c>
      <c r="I25" s="153"/>
      <c r="J25" s="230" t="s">
        <v>150</v>
      </c>
      <c r="K25" s="228">
        <v>1060</v>
      </c>
    </row>
    <row r="26" spans="1:11">
      <c r="A26" s="45">
        <v>19</v>
      </c>
      <c r="B26" s="247" t="s">
        <v>327</v>
      </c>
      <c r="C26" s="152"/>
      <c r="D26" s="256" t="s">
        <v>328</v>
      </c>
      <c r="E26" s="248">
        <f ca="1">'Цены ЖЭУ'!E24</f>
        <v>85</v>
      </c>
      <c r="G26" s="45">
        <v>75</v>
      </c>
      <c r="H26" s="224" t="s">
        <v>276</v>
      </c>
      <c r="I26" s="153"/>
      <c r="J26" s="230" t="s">
        <v>150</v>
      </c>
      <c r="K26" s="150">
        <v>190</v>
      </c>
    </row>
    <row r="27" spans="1:11">
      <c r="A27" s="45">
        <v>20</v>
      </c>
      <c r="B27" s="152" t="s">
        <v>329</v>
      </c>
      <c r="C27" s="152"/>
      <c r="D27" s="256" t="s">
        <v>150</v>
      </c>
      <c r="E27" s="248">
        <f ca="1">'Цены ЖЭУ'!E25</f>
        <v>80</v>
      </c>
      <c r="G27" s="45">
        <v>76</v>
      </c>
      <c r="H27" s="224" t="s">
        <v>294</v>
      </c>
      <c r="I27" s="153"/>
      <c r="J27" s="230" t="s">
        <v>150</v>
      </c>
      <c r="K27" s="150">
        <v>780</v>
      </c>
    </row>
    <row r="28" spans="1:11">
      <c r="A28" s="45">
        <v>21</v>
      </c>
      <c r="B28" s="247" t="s">
        <v>400</v>
      </c>
      <c r="C28" s="152"/>
      <c r="D28" s="256" t="s">
        <v>408</v>
      </c>
      <c r="E28" s="248">
        <f ca="1">'Цены ЖЭУ'!E26</f>
        <v>300</v>
      </c>
      <c r="G28" s="45">
        <v>77</v>
      </c>
      <c r="H28" s="224" t="s">
        <v>296</v>
      </c>
      <c r="I28" s="153"/>
      <c r="J28" s="230" t="s">
        <v>150</v>
      </c>
      <c r="K28" s="150">
        <v>150</v>
      </c>
    </row>
    <row r="29" spans="1:11">
      <c r="A29" s="45">
        <v>22</v>
      </c>
      <c r="B29" s="247" t="s">
        <v>401</v>
      </c>
      <c r="C29" s="152"/>
      <c r="D29" s="256"/>
      <c r="E29" s="248"/>
      <c r="G29" s="45">
        <v>78</v>
      </c>
      <c r="H29" s="77" t="s">
        <v>298</v>
      </c>
      <c r="I29" s="153"/>
      <c r="J29" s="230" t="s">
        <v>320</v>
      </c>
      <c r="K29" s="150">
        <v>2508</v>
      </c>
    </row>
    <row r="30" spans="1:11">
      <c r="A30" s="45">
        <v>23</v>
      </c>
      <c r="B30" s="247" t="s">
        <v>402</v>
      </c>
      <c r="C30" s="152"/>
      <c r="D30" s="256" t="s">
        <v>150</v>
      </c>
      <c r="E30" s="248">
        <f ca="1">'Цены ЖЭУ'!G28</f>
        <v>30</v>
      </c>
      <c r="G30" s="45">
        <v>79</v>
      </c>
      <c r="H30" s="77" t="s">
        <v>300</v>
      </c>
      <c r="I30" s="153"/>
      <c r="J30" s="230" t="s">
        <v>320</v>
      </c>
      <c r="K30" s="150">
        <v>24000</v>
      </c>
    </row>
    <row r="31" spans="1:11">
      <c r="A31" s="45">
        <v>24</v>
      </c>
      <c r="B31" s="247" t="s">
        <v>403</v>
      </c>
      <c r="C31" s="152"/>
      <c r="D31" s="256" t="s">
        <v>150</v>
      </c>
      <c r="E31" s="248">
        <f ca="1">'Цены ЖЭУ'!E29</f>
        <v>38</v>
      </c>
      <c r="G31" s="45">
        <v>80</v>
      </c>
      <c r="H31" s="77" t="s">
        <v>302</v>
      </c>
      <c r="I31" s="153"/>
      <c r="J31" s="230" t="s">
        <v>320</v>
      </c>
      <c r="K31" s="150">
        <v>24961</v>
      </c>
    </row>
    <row r="32" spans="1:11">
      <c r="A32" s="45">
        <v>25</v>
      </c>
      <c r="B32" s="247" t="s">
        <v>404</v>
      </c>
      <c r="C32" s="152"/>
      <c r="D32" s="256" t="s">
        <v>150</v>
      </c>
      <c r="E32" s="248">
        <f ca="1">'Цены ЖЭУ'!E30</f>
        <v>42</v>
      </c>
      <c r="G32" s="45">
        <v>81</v>
      </c>
      <c r="H32" s="77" t="s">
        <v>304</v>
      </c>
      <c r="I32" s="153"/>
      <c r="J32" s="230" t="s">
        <v>320</v>
      </c>
      <c r="K32" s="150">
        <v>3390</v>
      </c>
    </row>
    <row r="33" spans="1:11">
      <c r="A33" s="45">
        <v>26</v>
      </c>
      <c r="B33" s="247" t="s">
        <v>405</v>
      </c>
      <c r="C33" s="152"/>
      <c r="D33" s="256" t="s">
        <v>150</v>
      </c>
      <c r="E33" s="248">
        <f ca="1">'Цены ЖЭУ'!E31</f>
        <v>75</v>
      </c>
      <c r="G33" s="45">
        <v>82</v>
      </c>
      <c r="H33" s="77" t="s">
        <v>306</v>
      </c>
      <c r="I33" s="153"/>
      <c r="J33" s="230" t="s">
        <v>149</v>
      </c>
      <c r="K33" s="150">
        <v>147</v>
      </c>
    </row>
    <row r="34" spans="1:11">
      <c r="A34" s="45">
        <v>27</v>
      </c>
      <c r="B34" s="247" t="s">
        <v>406</v>
      </c>
      <c r="C34" s="152"/>
      <c r="D34" s="256" t="s">
        <v>150</v>
      </c>
      <c r="E34" s="248">
        <f ca="1">'Цены ЖЭУ'!E32</f>
        <v>145</v>
      </c>
      <c r="G34" s="45">
        <v>83</v>
      </c>
      <c r="H34" s="77" t="s">
        <v>308</v>
      </c>
      <c r="I34" s="153"/>
      <c r="J34" s="230" t="s">
        <v>149</v>
      </c>
      <c r="K34" s="150">
        <v>325</v>
      </c>
    </row>
    <row r="35" spans="1:11">
      <c r="A35" s="45">
        <v>28</v>
      </c>
      <c r="B35" s="247" t="s">
        <v>407</v>
      </c>
      <c r="C35" s="152"/>
      <c r="D35" s="256" t="s">
        <v>162</v>
      </c>
      <c r="E35" s="248">
        <f ca="1">'Цены ЖЭУ'!E33</f>
        <v>20</v>
      </c>
      <c r="G35" s="45">
        <v>84</v>
      </c>
      <c r="H35" s="77" t="s">
        <v>310</v>
      </c>
      <c r="I35" s="153"/>
      <c r="J35" s="230" t="s">
        <v>149</v>
      </c>
      <c r="K35" s="150">
        <v>450</v>
      </c>
    </row>
    <row r="36" spans="1:11">
      <c r="A36" s="45">
        <v>29</v>
      </c>
      <c r="B36" s="247" t="s">
        <v>418</v>
      </c>
      <c r="C36" s="152"/>
      <c r="D36" s="256" t="s">
        <v>149</v>
      </c>
      <c r="E36" s="248">
        <f ca="1">'Цены ЖЭУ'!E34</f>
        <v>32</v>
      </c>
      <c r="G36" s="45">
        <v>85</v>
      </c>
      <c r="H36" s="77" t="s">
        <v>312</v>
      </c>
      <c r="I36" s="153"/>
      <c r="J36" s="230" t="s">
        <v>149</v>
      </c>
      <c r="K36" s="150">
        <v>345</v>
      </c>
    </row>
    <row r="37" spans="1:11">
      <c r="A37" s="45">
        <v>30</v>
      </c>
      <c r="B37" s="247" t="s">
        <v>419</v>
      </c>
      <c r="C37" s="152"/>
      <c r="D37" s="256" t="s">
        <v>149</v>
      </c>
      <c r="E37" s="248">
        <f ca="1">'Цены ЖЭУ'!E35</f>
        <v>40</v>
      </c>
      <c r="G37" s="45">
        <v>86</v>
      </c>
      <c r="H37" s="77" t="s">
        <v>314</v>
      </c>
      <c r="I37" s="153"/>
      <c r="J37" s="230" t="s">
        <v>149</v>
      </c>
      <c r="K37" s="150">
        <v>17</v>
      </c>
    </row>
    <row r="38" spans="1:11">
      <c r="A38" s="45">
        <v>31</v>
      </c>
      <c r="B38" s="247" t="s">
        <v>420</v>
      </c>
      <c r="C38" s="152"/>
      <c r="D38" s="256" t="s">
        <v>149</v>
      </c>
      <c r="E38" s="248">
        <f ca="1">'Цены ЖЭУ'!E36</f>
        <v>65</v>
      </c>
      <c r="G38" s="45">
        <v>87</v>
      </c>
      <c r="H38" s="77" t="s">
        <v>316</v>
      </c>
      <c r="I38" s="153"/>
      <c r="J38" s="230" t="s">
        <v>149</v>
      </c>
      <c r="K38" s="150">
        <v>2400</v>
      </c>
    </row>
    <row r="39" spans="1:11">
      <c r="A39" s="45">
        <v>32</v>
      </c>
      <c r="B39" s="247" t="s">
        <v>421</v>
      </c>
      <c r="C39" s="152"/>
      <c r="D39" s="256" t="s">
        <v>149</v>
      </c>
      <c r="E39" s="248">
        <f ca="1">'Цены ЖЭУ'!E37</f>
        <v>10</v>
      </c>
      <c r="G39" s="45">
        <v>88</v>
      </c>
      <c r="H39" s="77" t="s">
        <v>318</v>
      </c>
      <c r="I39" s="153"/>
      <c r="J39" s="230" t="s">
        <v>149</v>
      </c>
      <c r="K39" s="150">
        <v>13</v>
      </c>
    </row>
    <row r="40" spans="1:11">
      <c r="A40" s="45">
        <v>33</v>
      </c>
      <c r="B40" s="247" t="s">
        <v>422</v>
      </c>
      <c r="C40" s="152"/>
      <c r="D40" s="256" t="s">
        <v>149</v>
      </c>
      <c r="E40" s="248">
        <f ca="1">'Цены ЖЭУ'!E38</f>
        <v>2.4</v>
      </c>
      <c r="G40" s="45">
        <v>89</v>
      </c>
      <c r="H40" s="77" t="s">
        <v>559</v>
      </c>
      <c r="I40" s="153"/>
      <c r="J40" s="230" t="s">
        <v>320</v>
      </c>
      <c r="K40" s="150">
        <v>50</v>
      </c>
    </row>
    <row r="41" spans="1:11">
      <c r="A41" s="45">
        <v>34</v>
      </c>
      <c r="B41" s="247" t="s">
        <v>423</v>
      </c>
      <c r="C41" s="152"/>
      <c r="D41" s="256"/>
      <c r="E41" s="248"/>
      <c r="G41" s="45">
        <v>90</v>
      </c>
      <c r="H41" s="77" t="s">
        <v>560</v>
      </c>
      <c r="I41" s="153"/>
      <c r="J41" s="230" t="s">
        <v>561</v>
      </c>
      <c r="K41" s="150">
        <v>20</v>
      </c>
    </row>
    <row r="42" spans="1:11">
      <c r="A42" s="45">
        <v>35</v>
      </c>
      <c r="B42" s="247" t="s">
        <v>432</v>
      </c>
      <c r="C42" s="152"/>
      <c r="D42" s="256" t="s">
        <v>320</v>
      </c>
      <c r="E42" s="248">
        <f ca="1">'Цены ЖЭУ'!E40</f>
        <v>18700</v>
      </c>
      <c r="G42" s="45">
        <v>91</v>
      </c>
      <c r="H42" s="77" t="s">
        <v>562</v>
      </c>
      <c r="I42" s="153"/>
      <c r="J42" s="230" t="s">
        <v>149</v>
      </c>
      <c r="K42" s="150">
        <v>18</v>
      </c>
    </row>
    <row r="43" spans="1:11" ht="24" customHeight="1">
      <c r="A43" s="45">
        <v>36</v>
      </c>
      <c r="B43" s="247" t="s">
        <v>424</v>
      </c>
      <c r="C43" s="152"/>
      <c r="D43" s="256" t="s">
        <v>162</v>
      </c>
      <c r="E43" s="248">
        <f ca="1">'Цены ЖЭУ'!I41</f>
        <v>225</v>
      </c>
      <c r="G43" s="45">
        <v>92</v>
      </c>
      <c r="H43" s="77" t="s">
        <v>563</v>
      </c>
      <c r="I43" s="153"/>
      <c r="J43" s="230" t="s">
        <v>149</v>
      </c>
      <c r="K43" s="150">
        <v>275</v>
      </c>
    </row>
    <row r="44" spans="1:11" ht="25.5" customHeight="1">
      <c r="A44" s="45">
        <v>37</v>
      </c>
      <c r="B44" s="379" t="s">
        <v>425</v>
      </c>
      <c r="C44" s="380"/>
      <c r="D44" s="256" t="s">
        <v>162</v>
      </c>
      <c r="E44" s="248">
        <f ca="1">'Цены ЖЭУ'!I42</f>
        <v>40</v>
      </c>
      <c r="G44" s="45">
        <v>93</v>
      </c>
      <c r="H44" s="77" t="s">
        <v>564</v>
      </c>
      <c r="I44" s="153"/>
      <c r="J44" s="230" t="s">
        <v>149</v>
      </c>
      <c r="K44" s="150">
        <v>265</v>
      </c>
    </row>
    <row r="45" spans="1:11">
      <c r="A45" s="45">
        <v>38</v>
      </c>
      <c r="B45" s="247" t="s">
        <v>426</v>
      </c>
      <c r="C45" s="152"/>
      <c r="D45" s="256" t="s">
        <v>434</v>
      </c>
      <c r="E45" s="248">
        <f ca="1">'Цены ЖЭУ'!E43</f>
        <v>85</v>
      </c>
      <c r="G45" s="45">
        <v>94</v>
      </c>
      <c r="H45" s="77" t="s">
        <v>566</v>
      </c>
      <c r="I45" s="153"/>
      <c r="J45" s="230" t="s">
        <v>149</v>
      </c>
      <c r="K45" s="150">
        <v>435</v>
      </c>
    </row>
    <row r="46" spans="1:11">
      <c r="A46" s="45">
        <v>39</v>
      </c>
      <c r="B46" s="247" t="s">
        <v>427</v>
      </c>
      <c r="C46" s="152"/>
      <c r="D46" s="256" t="s">
        <v>408</v>
      </c>
      <c r="E46" s="248">
        <f ca="1">'Цены ЖЭУ'!E44</f>
        <v>570</v>
      </c>
      <c r="G46" s="45">
        <v>95</v>
      </c>
      <c r="H46" s="77" t="s">
        <v>567</v>
      </c>
      <c r="I46" s="153"/>
      <c r="J46" s="230" t="s">
        <v>149</v>
      </c>
      <c r="K46" s="150">
        <v>400</v>
      </c>
    </row>
    <row r="47" spans="1:11">
      <c r="A47" s="45">
        <v>40</v>
      </c>
      <c r="B47" s="247" t="s">
        <v>428</v>
      </c>
      <c r="C47" s="152"/>
      <c r="D47" s="256" t="s">
        <v>149</v>
      </c>
      <c r="E47" s="248">
        <f ca="1">'Цены ЖЭУ'!E45</f>
        <v>5800</v>
      </c>
      <c r="G47" s="45">
        <v>96</v>
      </c>
      <c r="H47" s="77" t="s">
        <v>569</v>
      </c>
      <c r="I47" s="153"/>
      <c r="J47" s="230" t="s">
        <v>150</v>
      </c>
      <c r="K47" s="150">
        <v>40</v>
      </c>
    </row>
    <row r="48" spans="1:11">
      <c r="A48" s="45">
        <v>41</v>
      </c>
      <c r="B48" s="247" t="s">
        <v>429</v>
      </c>
      <c r="C48" s="152"/>
      <c r="D48" s="256" t="s">
        <v>408</v>
      </c>
      <c r="E48" s="248">
        <f ca="1">'Цены ЖЭУ'!E46</f>
        <v>250</v>
      </c>
      <c r="G48" s="45">
        <v>97</v>
      </c>
      <c r="H48" s="77" t="s">
        <v>570</v>
      </c>
      <c r="I48" s="153"/>
      <c r="J48" s="230" t="s">
        <v>571</v>
      </c>
      <c r="K48" s="150">
        <v>65</v>
      </c>
    </row>
    <row r="49" spans="1:11">
      <c r="A49" s="45">
        <v>42</v>
      </c>
      <c r="B49" s="247" t="s">
        <v>433</v>
      </c>
      <c r="C49" s="152"/>
      <c r="D49" s="256" t="s">
        <v>150</v>
      </c>
      <c r="E49" s="248">
        <f ca="1">'Цены ЖЭУ'!E47</f>
        <v>130</v>
      </c>
      <c r="G49" s="45">
        <v>98</v>
      </c>
      <c r="H49" s="77" t="s">
        <v>572</v>
      </c>
      <c r="I49" s="153"/>
      <c r="J49" s="230" t="s">
        <v>571</v>
      </c>
      <c r="K49" s="150">
        <v>36</v>
      </c>
    </row>
    <row r="50" spans="1:11">
      <c r="A50" s="45">
        <v>43</v>
      </c>
      <c r="B50" s="247" t="s">
        <v>430</v>
      </c>
      <c r="C50" s="152"/>
      <c r="D50" s="256" t="s">
        <v>150</v>
      </c>
      <c r="E50" s="248">
        <f ca="1">'Цены ЖЭУ'!G48</f>
        <v>294</v>
      </c>
      <c r="G50" s="45">
        <v>99</v>
      </c>
      <c r="H50" s="77" t="s">
        <v>573</v>
      </c>
      <c r="I50" s="153"/>
      <c r="J50" s="230" t="s">
        <v>571</v>
      </c>
      <c r="K50" s="150">
        <v>32</v>
      </c>
    </row>
    <row r="51" spans="1:11">
      <c r="A51" s="45">
        <v>44</v>
      </c>
      <c r="B51" s="247" t="s">
        <v>431</v>
      </c>
      <c r="C51" s="152"/>
      <c r="D51" s="256" t="s">
        <v>150</v>
      </c>
      <c r="E51" s="248">
        <f ca="1">'Цены ЖЭУ'!E49</f>
        <v>120</v>
      </c>
      <c r="G51" s="45">
        <v>100</v>
      </c>
      <c r="H51" s="77" t="s">
        <v>575</v>
      </c>
      <c r="I51" s="153"/>
      <c r="J51" s="230" t="s">
        <v>149</v>
      </c>
      <c r="K51" s="150">
        <v>180</v>
      </c>
    </row>
    <row r="52" spans="1:11">
      <c r="A52" s="45">
        <v>45</v>
      </c>
      <c r="B52" s="250" t="s">
        <v>439</v>
      </c>
      <c r="C52" s="152"/>
      <c r="D52" s="256" t="s">
        <v>408</v>
      </c>
      <c r="E52" s="248">
        <f ca="1">'Цены ЖЭУ'!E50</f>
        <v>500</v>
      </c>
      <c r="G52" s="45">
        <v>101</v>
      </c>
      <c r="H52" s="77" t="s">
        <v>574</v>
      </c>
      <c r="I52" s="153"/>
      <c r="J52" s="230" t="s">
        <v>149</v>
      </c>
      <c r="K52" s="150">
        <v>25</v>
      </c>
    </row>
    <row r="53" spans="1:11">
      <c r="A53" s="45">
        <v>46</v>
      </c>
      <c r="B53" s="250" t="s">
        <v>518</v>
      </c>
      <c r="C53" s="152"/>
      <c r="D53" s="256" t="s">
        <v>320</v>
      </c>
      <c r="E53" s="248">
        <f ca="1">'Цены ЖЭУ'!H51</f>
        <v>3600</v>
      </c>
      <c r="G53" s="45">
        <v>102</v>
      </c>
      <c r="H53" s="77" t="s">
        <v>576</v>
      </c>
      <c r="I53" s="153"/>
      <c r="J53" s="230" t="s">
        <v>149</v>
      </c>
      <c r="K53" s="44">
        <v>70</v>
      </c>
    </row>
    <row r="54" spans="1:11">
      <c r="A54" s="45">
        <v>47</v>
      </c>
      <c r="B54" s="247" t="s">
        <v>519</v>
      </c>
      <c r="C54" s="152"/>
      <c r="D54" s="256" t="s">
        <v>150</v>
      </c>
      <c r="E54" s="248">
        <f ca="1">'Цены ЖЭУ'!I52</f>
        <v>37</v>
      </c>
      <c r="G54" s="45">
        <v>103</v>
      </c>
      <c r="H54" s="77" t="s">
        <v>604</v>
      </c>
      <c r="I54" s="153"/>
      <c r="J54" s="230" t="s">
        <v>149</v>
      </c>
      <c r="K54" s="44">
        <v>50</v>
      </c>
    </row>
    <row r="55" spans="1:11">
      <c r="A55" s="45">
        <v>48</v>
      </c>
      <c r="B55" s="247" t="s">
        <v>520</v>
      </c>
      <c r="C55" s="152"/>
      <c r="D55" s="256" t="s">
        <v>150</v>
      </c>
      <c r="E55" s="248">
        <f ca="1">'Цены ЖЭУ'!E53</f>
        <v>225</v>
      </c>
      <c r="G55" s="45">
        <v>104</v>
      </c>
      <c r="H55" s="77" t="s">
        <v>605</v>
      </c>
      <c r="I55" s="153"/>
      <c r="J55" s="230" t="s">
        <v>149</v>
      </c>
      <c r="K55" s="44">
        <v>50</v>
      </c>
    </row>
    <row r="56" spans="1:11">
      <c r="A56" s="45">
        <v>49</v>
      </c>
      <c r="B56" s="251" t="s">
        <v>521</v>
      </c>
      <c r="C56" s="152"/>
      <c r="D56" s="256" t="s">
        <v>150</v>
      </c>
      <c r="E56" s="248">
        <f ca="1">'Цены ЖЭУ'!E54</f>
        <v>44</v>
      </c>
      <c r="G56" s="45">
        <v>105</v>
      </c>
      <c r="H56" s="77" t="s">
        <v>606</v>
      </c>
      <c r="I56" s="153"/>
      <c r="J56" s="230" t="s">
        <v>607</v>
      </c>
      <c r="K56" s="44">
        <v>230</v>
      </c>
    </row>
    <row r="57" spans="1:11">
      <c r="A57" s="45">
        <v>50</v>
      </c>
      <c r="B57" s="152" t="s">
        <v>523</v>
      </c>
      <c r="C57" s="152"/>
      <c r="D57" s="256" t="s">
        <v>149</v>
      </c>
      <c r="E57" s="248">
        <f ca="1">'Цены ЖЭУ'!H55</f>
        <v>18</v>
      </c>
      <c r="G57" s="45">
        <v>106</v>
      </c>
      <c r="H57" s="77" t="s">
        <v>608</v>
      </c>
      <c r="I57" s="153"/>
      <c r="J57" s="230" t="s">
        <v>609</v>
      </c>
      <c r="K57" s="44">
        <f ca="1">'Цены ЖЭУ'!I112</f>
        <v>450</v>
      </c>
    </row>
    <row r="58" spans="1:11">
      <c r="A58" s="77">
        <v>51</v>
      </c>
      <c r="B58" s="152" t="s">
        <v>538</v>
      </c>
      <c r="C58" s="152"/>
      <c r="D58" s="256" t="s">
        <v>150</v>
      </c>
      <c r="E58" s="248">
        <f ca="1">'Цены ЖЭУ'!E56</f>
        <v>0.37984251374999994</v>
      </c>
      <c r="G58" s="45">
        <v>107</v>
      </c>
      <c r="H58" s="77" t="s">
        <v>610</v>
      </c>
      <c r="I58" s="153"/>
      <c r="J58" s="230" t="s">
        <v>609</v>
      </c>
      <c r="K58" s="44">
        <v>300</v>
      </c>
    </row>
    <row r="59" spans="1:11">
      <c r="A59" s="77">
        <v>52</v>
      </c>
      <c r="B59" s="152" t="s">
        <v>539</v>
      </c>
      <c r="C59" s="152"/>
      <c r="D59" s="256" t="s">
        <v>150</v>
      </c>
      <c r="E59" s="248">
        <f ca="1">'Цены ЖЭУ'!E57</f>
        <v>6.5115859499999984E-2</v>
      </c>
      <c r="G59" s="45">
        <v>108</v>
      </c>
      <c r="H59" s="77" t="s">
        <v>611</v>
      </c>
      <c r="I59" s="153"/>
      <c r="J59" s="230" t="s">
        <v>149</v>
      </c>
      <c r="K59" s="44">
        <v>57</v>
      </c>
    </row>
    <row r="60" spans="1:11">
      <c r="A60" s="77">
        <v>53</v>
      </c>
      <c r="B60" s="152" t="s">
        <v>540</v>
      </c>
      <c r="C60" s="152"/>
      <c r="D60" s="256" t="s">
        <v>150</v>
      </c>
      <c r="E60" s="248">
        <f ca="1">'Цены ЖЭУ'!E58</f>
        <v>60</v>
      </c>
      <c r="G60" s="45">
        <v>109</v>
      </c>
      <c r="H60" s="77" t="s">
        <v>612</v>
      </c>
      <c r="I60" s="153"/>
      <c r="J60" s="230" t="s">
        <v>613</v>
      </c>
      <c r="K60" s="44">
        <v>30</v>
      </c>
    </row>
    <row r="61" spans="1:11">
      <c r="A61" s="77">
        <v>54</v>
      </c>
      <c r="B61" s="152" t="s">
        <v>541</v>
      </c>
      <c r="C61" s="152"/>
      <c r="D61" s="256" t="s">
        <v>150</v>
      </c>
      <c r="E61" s="248">
        <f ca="1">'Цены ЖЭУ'!E59</f>
        <v>28</v>
      </c>
      <c r="G61" s="45">
        <v>110</v>
      </c>
      <c r="H61" s="77" t="s">
        <v>614</v>
      </c>
      <c r="I61" s="153"/>
      <c r="J61" s="230" t="s">
        <v>149</v>
      </c>
      <c r="K61" s="44">
        <v>700</v>
      </c>
    </row>
    <row r="62" spans="1:11">
      <c r="A62" s="77">
        <v>55</v>
      </c>
      <c r="B62" s="152" t="s">
        <v>542</v>
      </c>
      <c r="C62" s="152"/>
      <c r="D62" s="256" t="s">
        <v>150</v>
      </c>
      <c r="E62" s="248">
        <f ca="1">'Цены ЖЭУ'!E60</f>
        <v>0.11937907575000001</v>
      </c>
      <c r="G62" s="45">
        <v>111</v>
      </c>
      <c r="H62" s="77" t="s">
        <v>615</v>
      </c>
      <c r="I62" s="153"/>
      <c r="J62" s="230" t="s">
        <v>408</v>
      </c>
      <c r="K62" s="44">
        <v>24</v>
      </c>
    </row>
    <row r="63" spans="1:11">
      <c r="A63" s="71">
        <v>56</v>
      </c>
      <c r="B63" s="252" t="s">
        <v>543</v>
      </c>
      <c r="D63" s="260" t="s">
        <v>150</v>
      </c>
      <c r="E63" s="248">
        <f ca="1">'Цены ЖЭУ'!E61</f>
        <v>1.8232440659999998</v>
      </c>
    </row>
  </sheetData>
  <mergeCells count="5">
    <mergeCell ref="B44:C44"/>
    <mergeCell ref="H3:I3"/>
    <mergeCell ref="H4:I4"/>
    <mergeCell ref="H5:I5"/>
    <mergeCell ref="H6:I6"/>
  </mergeCells>
  <phoneticPr fontId="5" type="noConversion"/>
  <pageMargins left="0.36" right="0.39" top="0.38" bottom="0.34" header="0.22" footer="0.2800000000000000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9"/>
  <sheetViews>
    <sheetView topLeftCell="A70" workbookViewId="0">
      <selection activeCell="G54" sqref="G54"/>
    </sheetView>
  </sheetViews>
  <sheetFormatPr defaultRowHeight="12.75"/>
  <cols>
    <col min="1" max="1" width="6.28515625" customWidth="1"/>
    <col min="2" max="2" width="10.7109375" customWidth="1"/>
    <col min="3" max="3" width="9.28515625" customWidth="1"/>
    <col min="4" max="5" width="6.7109375" customWidth="1"/>
    <col min="6" max="6" width="8.7109375" customWidth="1"/>
    <col min="7" max="7" width="6.7109375" customWidth="1"/>
    <col min="8" max="8" width="7.42578125" customWidth="1"/>
    <col min="9" max="9" width="7.7109375" customWidth="1"/>
    <col min="10" max="10" width="11.28515625" bestFit="1" customWidth="1"/>
    <col min="11" max="11" width="11.42578125" bestFit="1" customWidth="1"/>
    <col min="12" max="12" width="13.7109375" bestFit="1" customWidth="1"/>
    <col min="13" max="13" width="11.28515625" bestFit="1" customWidth="1"/>
  </cols>
  <sheetData>
    <row r="1" spans="1:13" ht="15.75">
      <c r="A1" s="109" t="s">
        <v>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3" spans="1:13">
      <c r="A3" s="400" t="s">
        <v>76</v>
      </c>
      <c r="B3" s="400"/>
      <c r="C3" s="400"/>
      <c r="D3" s="400"/>
      <c r="E3" s="400"/>
      <c r="F3" s="400"/>
      <c r="G3" s="400"/>
      <c r="H3" s="58"/>
      <c r="I3" s="58"/>
      <c r="J3" s="58"/>
    </row>
    <row r="4" spans="1:13">
      <c r="A4" s="110" t="s">
        <v>163</v>
      </c>
      <c r="B4" s="58"/>
      <c r="C4" s="58"/>
      <c r="D4" s="58"/>
      <c r="E4" s="58"/>
      <c r="F4" s="58"/>
      <c r="G4" s="58"/>
      <c r="H4" s="58"/>
      <c r="I4" s="58"/>
      <c r="J4" s="58"/>
    </row>
    <row r="5" spans="1:13">
      <c r="A5" t="s">
        <v>527</v>
      </c>
      <c r="L5">
        <v>0.95</v>
      </c>
    </row>
    <row r="6" spans="1:13">
      <c r="A6" t="s">
        <v>68</v>
      </c>
      <c r="L6">
        <f>1.643*L5</f>
        <v>1.5608499999999998</v>
      </c>
    </row>
    <row r="7" spans="1:13">
      <c r="A7" t="s">
        <v>69</v>
      </c>
      <c r="L7">
        <f>1.171*L5</f>
        <v>1.1124499999999999</v>
      </c>
    </row>
    <row r="8" spans="1:13">
      <c r="A8" t="s">
        <v>70</v>
      </c>
      <c r="L8">
        <f>1.881*L5</f>
        <v>1.7869499999999998</v>
      </c>
    </row>
    <row r="9" spans="1:13">
      <c r="A9" t="s">
        <v>126</v>
      </c>
      <c r="K9">
        <v>1</v>
      </c>
      <c r="L9" s="74">
        <v>1</v>
      </c>
    </row>
    <row r="10" spans="1:13">
      <c r="A10" t="str">
        <f ca="1">Исх.данные!B50</f>
        <v>Часовая ставка 1 разряда (руб/час)</v>
      </c>
      <c r="L10" s="21">
        <f ca="1">Исх.данные!F50</f>
        <v>42.587560386473434</v>
      </c>
    </row>
    <row r="12" spans="1:13" ht="11.25" customHeight="1" thickBot="1">
      <c r="A12" t="s">
        <v>129</v>
      </c>
    </row>
    <row r="13" spans="1:13" ht="27" customHeight="1" thickBot="1">
      <c r="A13" s="66"/>
      <c r="B13" s="384"/>
      <c r="C13" s="385"/>
      <c r="D13" s="60"/>
      <c r="E13" s="15"/>
      <c r="F13" s="403" t="s">
        <v>90</v>
      </c>
      <c r="G13" s="404"/>
      <c r="H13" s="404"/>
      <c r="I13" s="404"/>
      <c r="J13" s="405"/>
      <c r="K13" s="375" t="s">
        <v>98</v>
      </c>
      <c r="L13" s="376"/>
      <c r="M13" s="377"/>
    </row>
    <row r="14" spans="1:13">
      <c r="A14" s="68" t="s">
        <v>71</v>
      </c>
      <c r="B14" s="386" t="s">
        <v>72</v>
      </c>
      <c r="C14" s="387"/>
      <c r="D14" s="61" t="s">
        <v>99</v>
      </c>
      <c r="E14" s="64" t="s">
        <v>88</v>
      </c>
      <c r="F14" s="384" t="s">
        <v>91</v>
      </c>
      <c r="G14" s="385"/>
      <c r="H14" s="384" t="s">
        <v>93</v>
      </c>
      <c r="I14" s="385"/>
      <c r="J14" s="60" t="s">
        <v>93</v>
      </c>
      <c r="K14" s="59" t="s">
        <v>91</v>
      </c>
      <c r="L14" s="60" t="s">
        <v>93</v>
      </c>
      <c r="M14" s="60" t="s">
        <v>93</v>
      </c>
    </row>
    <row r="15" spans="1:13">
      <c r="A15" s="68" t="s">
        <v>73</v>
      </c>
      <c r="B15" s="386" t="s">
        <v>74</v>
      </c>
      <c r="C15" s="387"/>
      <c r="D15" s="61" t="s">
        <v>100</v>
      </c>
      <c r="E15" s="6" t="s">
        <v>89</v>
      </c>
      <c r="F15" s="386" t="s">
        <v>92</v>
      </c>
      <c r="G15" s="387"/>
      <c r="H15" s="386" t="s">
        <v>94</v>
      </c>
      <c r="I15" s="387"/>
      <c r="J15" s="61" t="s">
        <v>97</v>
      </c>
      <c r="K15" s="59" t="s">
        <v>92</v>
      </c>
      <c r="L15" s="61" t="s">
        <v>94</v>
      </c>
      <c r="M15" s="61" t="s">
        <v>97</v>
      </c>
    </row>
    <row r="16" spans="1:13" ht="13.5" thickBot="1">
      <c r="A16" s="67"/>
      <c r="B16" s="388"/>
      <c r="C16" s="389"/>
      <c r="D16" s="62"/>
      <c r="E16" s="9"/>
      <c r="F16" s="388" t="s">
        <v>95</v>
      </c>
      <c r="G16" s="389"/>
      <c r="H16" s="388" t="s">
        <v>96</v>
      </c>
      <c r="I16" s="389"/>
      <c r="J16" s="62" t="s">
        <v>96</v>
      </c>
      <c r="K16" s="59" t="s">
        <v>95</v>
      </c>
      <c r="L16" s="62" t="s">
        <v>96</v>
      </c>
      <c r="M16" s="62" t="s">
        <v>96</v>
      </c>
    </row>
    <row r="17" spans="1:13" ht="13.5" thickBot="1">
      <c r="A17" s="54" t="s">
        <v>77</v>
      </c>
      <c r="B17" s="398" t="s">
        <v>78</v>
      </c>
      <c r="C17" s="399"/>
      <c r="D17" s="65"/>
      <c r="E17" s="63">
        <f ca="1">Цены!E7</f>
        <v>140</v>
      </c>
      <c r="F17" s="401">
        <v>0.83</v>
      </c>
      <c r="G17" s="402"/>
      <c r="H17" s="398">
        <v>0.59</v>
      </c>
      <c r="I17" s="399"/>
      <c r="J17" s="69">
        <v>0.95</v>
      </c>
      <c r="K17" s="52">
        <f>F17*E17</f>
        <v>116.19999999999999</v>
      </c>
      <c r="L17" s="70">
        <f>E17*H17</f>
        <v>82.6</v>
      </c>
      <c r="M17" s="70">
        <f>E17*J17</f>
        <v>133</v>
      </c>
    </row>
    <row r="18" spans="1:13" ht="13.5" thickBot="1">
      <c r="A18" s="45" t="s">
        <v>79</v>
      </c>
      <c r="B18" s="396" t="s">
        <v>80</v>
      </c>
      <c r="C18" s="397"/>
      <c r="D18" s="53" t="s">
        <v>81</v>
      </c>
      <c r="E18" s="63">
        <f ca="1">Цены!E8</f>
        <v>85</v>
      </c>
      <c r="F18" s="396">
        <v>9.9600000000000009</v>
      </c>
      <c r="G18" s="397"/>
      <c r="H18" s="396">
        <v>7.1</v>
      </c>
      <c r="I18" s="397"/>
      <c r="J18" s="50">
        <v>11.4</v>
      </c>
      <c r="K18" s="52">
        <f>F18*E18</f>
        <v>846.6</v>
      </c>
      <c r="L18" s="70">
        <f>E18*H18</f>
        <v>603.5</v>
      </c>
      <c r="M18" s="70">
        <f>E18*J18</f>
        <v>969</v>
      </c>
    </row>
    <row r="19" spans="1:13" ht="13.5" thickBot="1">
      <c r="A19" s="45" t="s">
        <v>82</v>
      </c>
      <c r="B19" s="396" t="s">
        <v>83</v>
      </c>
      <c r="C19" s="397"/>
      <c r="D19" s="53"/>
      <c r="E19" s="63">
        <f ca="1">Цены!E9</f>
        <v>60</v>
      </c>
      <c r="F19" s="396">
        <v>0.41</v>
      </c>
      <c r="G19" s="397"/>
      <c r="H19" s="396">
        <v>0.3</v>
      </c>
      <c r="I19" s="397"/>
      <c r="J19" s="50">
        <v>0.47</v>
      </c>
      <c r="K19" s="52">
        <f>F19*E19</f>
        <v>24.599999999999998</v>
      </c>
      <c r="L19" s="70">
        <f>E19*H19</f>
        <v>18</v>
      </c>
      <c r="M19" s="70">
        <f>E19*J19</f>
        <v>28.2</v>
      </c>
    </row>
    <row r="20" spans="1:13" ht="13.5" thickBot="1">
      <c r="A20" s="45" t="s">
        <v>84</v>
      </c>
      <c r="B20" s="396" t="s">
        <v>85</v>
      </c>
      <c r="C20" s="397"/>
      <c r="D20" s="53"/>
      <c r="E20" s="63">
        <f ca="1">Цены!E10</f>
        <v>154</v>
      </c>
      <c r="F20" s="396">
        <v>0.83</v>
      </c>
      <c r="G20" s="397"/>
      <c r="H20" s="396">
        <v>0.59</v>
      </c>
      <c r="I20" s="397"/>
      <c r="J20" s="50">
        <v>0.95</v>
      </c>
      <c r="K20" s="52">
        <f>F20*E20</f>
        <v>127.82</v>
      </c>
      <c r="L20" s="70">
        <f>E20*H20</f>
        <v>90.86</v>
      </c>
      <c r="M20" s="70">
        <f>E20*J20</f>
        <v>146.29999999999998</v>
      </c>
    </row>
    <row r="21" spans="1:13">
      <c r="A21" s="45" t="s">
        <v>86</v>
      </c>
      <c r="B21" s="396" t="s">
        <v>87</v>
      </c>
      <c r="C21" s="397"/>
      <c r="D21" s="54"/>
      <c r="E21" s="63">
        <f ca="1">Цены!E11</f>
        <v>150</v>
      </c>
      <c r="F21" s="396">
        <v>0.83</v>
      </c>
      <c r="G21" s="397"/>
      <c r="H21" s="396">
        <v>0.59</v>
      </c>
      <c r="I21" s="397"/>
      <c r="J21" s="50">
        <v>0.95</v>
      </c>
      <c r="K21" s="52">
        <f>F21*E21</f>
        <v>124.5</v>
      </c>
      <c r="L21" s="70">
        <f>E21*H21</f>
        <v>88.5</v>
      </c>
      <c r="M21" s="70">
        <f>E21*J21</f>
        <v>142.5</v>
      </c>
    </row>
    <row r="22" spans="1:13">
      <c r="A22" s="48"/>
      <c r="B22" s="55"/>
      <c r="C22" s="55"/>
      <c r="D22" s="26"/>
      <c r="E22" s="48"/>
      <c r="F22" s="55"/>
      <c r="G22" s="56"/>
      <c r="H22" s="36"/>
      <c r="I22" s="36"/>
      <c r="J22" s="36"/>
      <c r="K22" s="57">
        <f>SUM(K17:K21)</f>
        <v>1239.72</v>
      </c>
      <c r="L22" s="57">
        <f>SUM(L17:L21)</f>
        <v>883.46</v>
      </c>
      <c r="M22" s="57">
        <f>SUM(M17:M21)</f>
        <v>1419</v>
      </c>
    </row>
    <row r="23" spans="1:13" ht="13.5" thickBot="1">
      <c r="A23" s="71" t="s">
        <v>101</v>
      </c>
      <c r="B23" s="46"/>
    </row>
    <row r="24" spans="1:13" ht="13.5" thickBot="1">
      <c r="A24" s="15" t="s">
        <v>71</v>
      </c>
      <c r="B24" s="15" t="s">
        <v>103</v>
      </c>
      <c r="C24" s="15" t="s">
        <v>107</v>
      </c>
      <c r="D24" s="15" t="s">
        <v>108</v>
      </c>
      <c r="E24" s="375" t="s">
        <v>111</v>
      </c>
      <c r="F24" s="376"/>
      <c r="G24" s="376"/>
      <c r="H24" s="376"/>
      <c r="I24" s="376"/>
      <c r="J24" s="376"/>
      <c r="K24" s="377"/>
      <c r="L24" s="15" t="s">
        <v>124</v>
      </c>
    </row>
    <row r="25" spans="1:13">
      <c r="A25" s="6" t="s">
        <v>102</v>
      </c>
      <c r="B25" s="6" t="s">
        <v>104</v>
      </c>
      <c r="C25" s="6" t="s">
        <v>104</v>
      </c>
      <c r="D25" s="6" t="s">
        <v>109</v>
      </c>
      <c r="E25" s="15" t="s">
        <v>114</v>
      </c>
      <c r="F25" s="15" t="s">
        <v>112</v>
      </c>
      <c r="G25" s="15" t="s">
        <v>112</v>
      </c>
      <c r="H25" s="15" t="s">
        <v>113</v>
      </c>
      <c r="I25" s="15" t="s">
        <v>116</v>
      </c>
      <c r="J25" s="15" t="s">
        <v>118</v>
      </c>
      <c r="K25" s="15" t="s">
        <v>121</v>
      </c>
      <c r="L25" s="6" t="s">
        <v>125</v>
      </c>
    </row>
    <row r="26" spans="1:13">
      <c r="A26" s="6"/>
      <c r="B26" s="6" t="s">
        <v>105</v>
      </c>
      <c r="C26" s="6" t="s">
        <v>105</v>
      </c>
      <c r="D26" s="6" t="s">
        <v>110</v>
      </c>
      <c r="E26" s="6" t="s">
        <v>115</v>
      </c>
      <c r="F26" s="6"/>
      <c r="G26" s="6" t="s">
        <v>123</v>
      </c>
      <c r="H26" s="6"/>
      <c r="I26" s="6" t="s">
        <v>117</v>
      </c>
      <c r="J26" s="6" t="s">
        <v>119</v>
      </c>
      <c r="K26" s="6" t="s">
        <v>122</v>
      </c>
      <c r="L26" s="6" t="s">
        <v>127</v>
      </c>
    </row>
    <row r="27" spans="1:13" ht="13.5" thickBot="1">
      <c r="A27" s="9"/>
      <c r="B27" s="9" t="s">
        <v>106</v>
      </c>
      <c r="C27" s="9" t="s">
        <v>106</v>
      </c>
      <c r="D27" s="9"/>
      <c r="E27" s="9"/>
      <c r="F27" s="9"/>
      <c r="G27" s="9"/>
      <c r="H27" s="73">
        <f ca="1">Исх.данные!F51</f>
        <v>0.30199999999999999</v>
      </c>
      <c r="I27" s="73">
        <f ca="1">Исх.данные!F52</f>
        <v>0.89800000000000002</v>
      </c>
      <c r="J27" s="9" t="s">
        <v>120</v>
      </c>
      <c r="K27" s="9" t="s">
        <v>75</v>
      </c>
      <c r="L27" s="9"/>
    </row>
    <row r="28" spans="1:13">
      <c r="A28" t="s">
        <v>16</v>
      </c>
      <c r="B28">
        <f ca="1">Исх.данные!C8</f>
        <v>2595.5</v>
      </c>
      <c r="C28">
        <f ca="1">Исх.данные!C21</f>
        <v>345</v>
      </c>
      <c r="D28">
        <f ca="1">L6</f>
        <v>1.5608499999999998</v>
      </c>
      <c r="E28">
        <f ca="1">Исх.данные!F54</f>
        <v>1.1200000000000001</v>
      </c>
      <c r="F28">
        <f>C28*D28*L10</f>
        <v>22933.113802083335</v>
      </c>
      <c r="G28">
        <f t="shared" ref="G28:G33" si="0">F28*E28</f>
        <v>25685.087458333339</v>
      </c>
      <c r="H28">
        <f>G28*H27</f>
        <v>7756.8964124166678</v>
      </c>
      <c r="I28">
        <f>G28*I27</f>
        <v>23065.208537583338</v>
      </c>
      <c r="J28" s="74">
        <f>K22*C28/1000</f>
        <v>427.70340000000004</v>
      </c>
      <c r="K28" s="21">
        <f t="shared" ref="K28:K33" si="1">SUM(G28:J28)</f>
        <v>56934.895808333342</v>
      </c>
      <c r="L28" s="21">
        <f t="shared" ref="L28:L33" si="2">K28/12/B28</f>
        <v>1.8280002507009998</v>
      </c>
    </row>
    <row r="29" spans="1:13">
      <c r="A29" t="s">
        <v>28</v>
      </c>
      <c r="B29">
        <f ca="1">Исх.данные!D8</f>
        <v>2595.5</v>
      </c>
      <c r="C29">
        <f ca="1">Исх.данные!D21</f>
        <v>345</v>
      </c>
      <c r="D29">
        <f ca="1">L6</f>
        <v>1.5608499999999998</v>
      </c>
      <c r="E29">
        <f ca="1">Исх.данные!F54</f>
        <v>1.1200000000000001</v>
      </c>
      <c r="F29">
        <f>C29*D29*L10</f>
        <v>22933.113802083335</v>
      </c>
      <c r="G29">
        <f t="shared" si="0"/>
        <v>25685.087458333339</v>
      </c>
      <c r="H29">
        <f>G29*H27</f>
        <v>7756.8964124166678</v>
      </c>
      <c r="I29">
        <f>G29*I27</f>
        <v>23065.208537583338</v>
      </c>
      <c r="J29" s="74">
        <f>K22*C29/1000</f>
        <v>427.70340000000004</v>
      </c>
      <c r="K29" s="21">
        <f t="shared" si="1"/>
        <v>56934.895808333342</v>
      </c>
      <c r="L29" s="21">
        <f t="shared" si="2"/>
        <v>1.8280002507009998</v>
      </c>
    </row>
    <row r="30" spans="1:13">
      <c r="A30" t="s">
        <v>36</v>
      </c>
      <c r="B30">
        <f ca="1">Исх.данные!E8</f>
        <v>7735.2</v>
      </c>
      <c r="C30">
        <f ca="1">Исх.данные!E21</f>
        <v>999.6</v>
      </c>
      <c r="D30">
        <f ca="1">L7</f>
        <v>1.1124499999999999</v>
      </c>
      <c r="E30">
        <f ca="1">Исх.данные!F54</f>
        <v>1.1200000000000001</v>
      </c>
      <c r="F30">
        <f>C30*D30*L10</f>
        <v>47357.5809393116</v>
      </c>
      <c r="G30">
        <f t="shared" si="0"/>
        <v>53040.490652028995</v>
      </c>
      <c r="H30">
        <f>G30*H27</f>
        <v>16018.228176912757</v>
      </c>
      <c r="I30">
        <f>G30*I27</f>
        <v>47630.360605522037</v>
      </c>
      <c r="J30" s="74">
        <f>L22*C30/1000</f>
        <v>883.10661600000003</v>
      </c>
      <c r="K30" s="21">
        <f t="shared" si="1"/>
        <v>117572.18605046379</v>
      </c>
      <c r="L30" s="21">
        <f t="shared" si="2"/>
        <v>1.2666359203216442</v>
      </c>
    </row>
    <row r="31" spans="1:13">
      <c r="A31" t="s">
        <v>39</v>
      </c>
      <c r="B31">
        <f ca="1">Исх.данные!F8</f>
        <v>7735.2</v>
      </c>
      <c r="C31">
        <f ca="1">Исх.данные!F21</f>
        <v>999.6</v>
      </c>
      <c r="D31">
        <f ca="1">L8</f>
        <v>1.7869499999999998</v>
      </c>
      <c r="E31">
        <f ca="1">Исх.данные!F54</f>
        <v>1.1200000000000001</v>
      </c>
      <c r="F31">
        <f>C31*D31*L10</f>
        <v>76071.400296195658</v>
      </c>
      <c r="G31">
        <f t="shared" si="0"/>
        <v>85199.968331739146</v>
      </c>
      <c r="H31">
        <f>G31*H27</f>
        <v>25730.390436185222</v>
      </c>
      <c r="I31">
        <f>G31*I27</f>
        <v>76509.571561901757</v>
      </c>
      <c r="J31" s="74">
        <f>M22*C31/1000</f>
        <v>1418.4324000000001</v>
      </c>
      <c r="K31" s="21">
        <f t="shared" si="1"/>
        <v>188858.36272982613</v>
      </c>
      <c r="L31" s="21">
        <f t="shared" si="2"/>
        <v>2.034620552041599</v>
      </c>
    </row>
    <row r="32" spans="1:13">
      <c r="A32" t="s">
        <v>64</v>
      </c>
      <c r="B32">
        <f ca="1">Исх.данные!G8</f>
        <v>7735.2</v>
      </c>
      <c r="C32">
        <f ca="1">Исх.данные!G21</f>
        <v>999.6</v>
      </c>
      <c r="D32">
        <f ca="1">L8</f>
        <v>1.7869499999999998</v>
      </c>
      <c r="E32">
        <f ca="1">Исх.данные!F54</f>
        <v>1.1200000000000001</v>
      </c>
      <c r="F32">
        <f>C32*D32*L10</f>
        <v>76071.400296195658</v>
      </c>
      <c r="G32">
        <f t="shared" si="0"/>
        <v>85199.968331739146</v>
      </c>
      <c r="H32">
        <f>G32*H27</f>
        <v>25730.390436185222</v>
      </c>
      <c r="I32">
        <f>G32*I27</f>
        <v>76509.571561901757</v>
      </c>
      <c r="J32" s="74">
        <f>M22*C32/1000</f>
        <v>1418.4324000000001</v>
      </c>
      <c r="K32" s="21">
        <f t="shared" si="1"/>
        <v>188858.36272982613</v>
      </c>
      <c r="L32" s="21">
        <f t="shared" si="2"/>
        <v>2.034620552041599</v>
      </c>
    </row>
    <row r="33" spans="1:12">
      <c r="A33" t="s">
        <v>175</v>
      </c>
      <c r="B33">
        <f ca="1">Исх.данные!L8</f>
        <v>1291.4000000000001</v>
      </c>
      <c r="C33">
        <f ca="1">Исх.данные!L21</f>
        <v>166</v>
      </c>
      <c r="D33">
        <f ca="1">L6</f>
        <v>1.5608499999999998</v>
      </c>
      <c r="E33">
        <f ca="1">Исх.данные!F54</f>
        <v>1.1200000000000001</v>
      </c>
      <c r="F33" s="21">
        <f>C33*D33*L10</f>
        <v>11034.48374245169</v>
      </c>
      <c r="G33">
        <f t="shared" si="0"/>
        <v>12358.621791545895</v>
      </c>
      <c r="H33">
        <f>G33*H27</f>
        <v>3732.30378104686</v>
      </c>
      <c r="I33">
        <f>G33*I27</f>
        <v>11098.042368808214</v>
      </c>
      <c r="J33" s="74">
        <f>M22*C33/1000</f>
        <v>235.554</v>
      </c>
      <c r="K33" s="21">
        <f t="shared" si="1"/>
        <v>27424.521941400966</v>
      </c>
      <c r="L33" s="21">
        <f t="shared" si="2"/>
        <v>1.7696893514403598</v>
      </c>
    </row>
    <row r="34" spans="1:12">
      <c r="C34" s="76" t="s">
        <v>136</v>
      </c>
    </row>
    <row r="35" spans="1:12">
      <c r="C35" s="76"/>
    </row>
    <row r="36" spans="1:12" ht="13.5" thickBot="1">
      <c r="A36" t="s">
        <v>164</v>
      </c>
      <c r="C36" s="76"/>
      <c r="I36" t="s">
        <v>532</v>
      </c>
      <c r="L36">
        <v>0.8</v>
      </c>
    </row>
    <row r="37" spans="1:12">
      <c r="A37" s="29"/>
      <c r="B37" s="34"/>
      <c r="C37" s="34"/>
      <c r="D37" s="34"/>
      <c r="E37" s="34"/>
      <c r="F37" s="34"/>
      <c r="G37" s="34"/>
      <c r="H37" s="34"/>
      <c r="I37" s="28"/>
      <c r="J37" s="15" t="s">
        <v>156</v>
      </c>
      <c r="K37" s="15" t="s">
        <v>158</v>
      </c>
      <c r="L37" s="15"/>
    </row>
    <row r="38" spans="1:12" ht="13.5" thickBot="1">
      <c r="A38" s="31"/>
      <c r="B38" s="35"/>
      <c r="C38" s="35"/>
      <c r="D38" s="35"/>
      <c r="E38" s="35"/>
      <c r="F38" s="35"/>
      <c r="G38" s="35"/>
      <c r="H38" s="35"/>
      <c r="I38" s="32"/>
      <c r="J38" s="9" t="s">
        <v>157</v>
      </c>
      <c r="K38" s="9" t="s">
        <v>159</v>
      </c>
      <c r="L38" s="9"/>
    </row>
    <row r="39" spans="1:12">
      <c r="A39" s="49" t="s">
        <v>130</v>
      </c>
      <c r="B39" s="108"/>
      <c r="C39" s="108"/>
      <c r="D39" s="108"/>
      <c r="E39" s="108"/>
      <c r="F39" s="108"/>
      <c r="G39" s="108"/>
      <c r="H39" s="108"/>
      <c r="I39" s="80"/>
      <c r="J39" s="43">
        <f>74*0.8</f>
        <v>59.2</v>
      </c>
      <c r="K39" s="43">
        <f>12.4*0.8</f>
        <v>9.9200000000000017</v>
      </c>
    </row>
    <row r="40" spans="1:12">
      <c r="A40" t="s">
        <v>126</v>
      </c>
      <c r="K40">
        <v>1</v>
      </c>
      <c r="L40" s="74">
        <v>1</v>
      </c>
    </row>
    <row r="41" spans="1:12">
      <c r="A41" t="str">
        <f ca="1">Исх.данные!B50</f>
        <v>Часовая ставка 1 разряда (руб/час)</v>
      </c>
      <c r="L41" s="21">
        <f ca="1">Исх.данные!F50</f>
        <v>42.587560386473434</v>
      </c>
    </row>
    <row r="43" spans="1:12" ht="11.25" customHeight="1">
      <c r="A43" t="s">
        <v>134</v>
      </c>
    </row>
    <row r="44" spans="1:12" ht="11.25" customHeight="1" thickBot="1"/>
    <row r="45" spans="1:12" s="84" customFormat="1" ht="12" customHeight="1" thickBot="1">
      <c r="A45" s="95" t="s">
        <v>135</v>
      </c>
      <c r="B45" s="96"/>
      <c r="C45" s="103" t="s">
        <v>137</v>
      </c>
      <c r="D45" s="95" t="s">
        <v>151</v>
      </c>
      <c r="E45" s="96"/>
      <c r="F45" s="91" t="s">
        <v>139</v>
      </c>
      <c r="G45" s="91" t="s">
        <v>88</v>
      </c>
      <c r="H45" s="86" t="s">
        <v>141</v>
      </c>
      <c r="I45" s="87"/>
      <c r="J45" s="88"/>
    </row>
    <row r="46" spans="1:12" s="84" customFormat="1" ht="13.5" thickBot="1">
      <c r="A46" s="97" t="s">
        <v>74</v>
      </c>
      <c r="B46" s="100"/>
      <c r="C46" s="93" t="s">
        <v>138</v>
      </c>
      <c r="D46" s="97" t="s">
        <v>152</v>
      </c>
      <c r="E46" s="98"/>
      <c r="F46" s="94" t="s">
        <v>140</v>
      </c>
      <c r="G46" s="94" t="s">
        <v>89</v>
      </c>
      <c r="H46" s="392" t="s">
        <v>142</v>
      </c>
      <c r="I46" s="393"/>
      <c r="J46" s="91"/>
    </row>
    <row r="47" spans="1:12" s="84" customFormat="1">
      <c r="A47" s="97"/>
      <c r="B47" s="100"/>
      <c r="C47" s="93"/>
      <c r="D47" s="99"/>
      <c r="E47" s="100"/>
      <c r="F47" s="94" t="s">
        <v>153</v>
      </c>
      <c r="G47" s="94"/>
      <c r="H47" s="89" t="s">
        <v>143</v>
      </c>
      <c r="I47" s="91" t="s">
        <v>145</v>
      </c>
      <c r="J47" s="93"/>
    </row>
    <row r="48" spans="1:12" s="84" customFormat="1" ht="13.5" thickBot="1">
      <c r="A48" s="104"/>
      <c r="B48" s="105"/>
      <c r="C48" s="90"/>
      <c r="D48" s="101"/>
      <c r="E48" s="102"/>
      <c r="F48" s="92" t="s">
        <v>154</v>
      </c>
      <c r="G48" s="92"/>
      <c r="H48" s="90" t="s">
        <v>144</v>
      </c>
      <c r="I48" s="92" t="s">
        <v>146</v>
      </c>
      <c r="J48" s="90"/>
    </row>
    <row r="49" spans="1:12" s="84" customFormat="1">
      <c r="A49" s="82" t="s">
        <v>147</v>
      </c>
      <c r="B49" s="82"/>
      <c r="C49" s="82"/>
      <c r="D49" s="83"/>
      <c r="E49" s="83"/>
      <c r="F49" s="83"/>
      <c r="G49" s="83"/>
      <c r="H49" s="82"/>
      <c r="I49" s="83"/>
      <c r="J49" s="82"/>
    </row>
    <row r="50" spans="1:12">
      <c r="A50" s="390" t="s">
        <v>78</v>
      </c>
      <c r="B50" s="391"/>
      <c r="C50" s="26" t="s">
        <v>149</v>
      </c>
      <c r="D50" s="81">
        <f ca="1">Исх.данные!E8</f>
        <v>7735.2</v>
      </c>
      <c r="E50" s="36"/>
      <c r="F50" s="36">
        <v>0.04</v>
      </c>
      <c r="G50" s="274">
        <f ca="1">Цены!E7</f>
        <v>140</v>
      </c>
      <c r="H50" s="47">
        <f>F50*G50</f>
        <v>5.6000000000000005</v>
      </c>
      <c r="I50" s="26">
        <f>H50*D50/1000</f>
        <v>43.317120000000003</v>
      </c>
      <c r="J50" s="47"/>
      <c r="K50" s="81"/>
      <c r="L50" s="36"/>
    </row>
    <row r="51" spans="1:12">
      <c r="A51" s="390" t="s">
        <v>132</v>
      </c>
      <c r="B51" s="391"/>
      <c r="C51" s="26"/>
      <c r="D51" s="81"/>
      <c r="E51" s="36"/>
      <c r="F51" s="36">
        <v>0.23</v>
      </c>
      <c r="G51" s="47">
        <f ca="1">Цены!E18</f>
        <v>67</v>
      </c>
      <c r="H51" s="47">
        <f>F51*G51</f>
        <v>15.41</v>
      </c>
      <c r="I51" s="26">
        <f>H51*D50/1000</f>
        <v>119.199432</v>
      </c>
      <c r="J51" s="47"/>
      <c r="K51" s="81"/>
      <c r="L51" s="36"/>
    </row>
    <row r="52" spans="1:12" ht="30" customHeight="1">
      <c r="A52" s="394" t="s">
        <v>148</v>
      </c>
      <c r="B52" s="395"/>
      <c r="C52" s="26"/>
      <c r="D52" s="81"/>
      <c r="E52" s="36"/>
      <c r="F52" s="36">
        <v>0.04</v>
      </c>
      <c r="G52" s="46">
        <f ca="1">Цены!E13</f>
        <v>1100</v>
      </c>
      <c r="H52" s="47">
        <f>F52*G52</f>
        <v>44</v>
      </c>
      <c r="I52" s="26">
        <f>H52*D50/1000</f>
        <v>340.34879999999998</v>
      </c>
      <c r="J52" s="47"/>
      <c r="K52" s="81"/>
      <c r="L52" s="36"/>
    </row>
    <row r="53" spans="1:12">
      <c r="A53" s="390" t="s">
        <v>87</v>
      </c>
      <c r="B53" s="391"/>
      <c r="C53" s="26"/>
      <c r="D53" s="81"/>
      <c r="E53" s="36"/>
      <c r="F53" s="36">
        <v>0.45</v>
      </c>
      <c r="G53" s="289">
        <f ca="1">64*1.1367*1.005*L12</f>
        <v>0</v>
      </c>
      <c r="H53" s="47">
        <f>F53*G53</f>
        <v>0</v>
      </c>
      <c r="I53" s="26">
        <f>H53*D50/1000</f>
        <v>0</v>
      </c>
      <c r="J53" s="47"/>
      <c r="K53" s="81"/>
      <c r="L53" s="36"/>
    </row>
    <row r="54" spans="1:12">
      <c r="A54" s="26" t="s">
        <v>131</v>
      </c>
      <c r="B54" s="26"/>
      <c r="C54" s="26" t="s">
        <v>150</v>
      </c>
      <c r="D54" s="81"/>
      <c r="E54" s="36"/>
      <c r="F54" s="36">
        <v>27.97</v>
      </c>
      <c r="G54" s="274">
        <f ca="1">Цены!E14</f>
        <v>75</v>
      </c>
      <c r="H54" s="47">
        <f>F54*G54</f>
        <v>2097.75</v>
      </c>
      <c r="I54" s="26">
        <f>H54*D50/1000</f>
        <v>16226.515799999999</v>
      </c>
      <c r="J54" s="47"/>
      <c r="K54" s="81"/>
      <c r="L54" s="36"/>
    </row>
    <row r="55" spans="1:12">
      <c r="A55" s="26"/>
      <c r="B55" s="26"/>
      <c r="C55" s="26"/>
      <c r="D55" s="78"/>
      <c r="E55" s="26"/>
      <c r="F55" s="26"/>
      <c r="G55" s="26"/>
      <c r="H55" s="47"/>
      <c r="I55" s="26">
        <f>SUM(I50:I54)</f>
        <v>16729.381151999998</v>
      </c>
      <c r="J55" s="26"/>
      <c r="K55" s="78"/>
      <c r="L55" s="26"/>
    </row>
    <row r="56" spans="1:12">
      <c r="A56" s="26" t="s">
        <v>155</v>
      </c>
      <c r="B56" s="26"/>
      <c r="C56" s="26"/>
      <c r="D56" s="26"/>
      <c r="E56" s="26"/>
      <c r="F56" s="26"/>
      <c r="G56" s="26"/>
      <c r="H56" s="47"/>
      <c r="I56" s="26"/>
      <c r="J56" s="26"/>
      <c r="K56" s="26"/>
      <c r="L56" s="26"/>
    </row>
    <row r="57" spans="1:12">
      <c r="A57" s="26" t="str">
        <f>A50</f>
        <v>Ведро</v>
      </c>
      <c r="B57" s="26"/>
      <c r="C57" s="26" t="str">
        <f>C50</f>
        <v>шт</v>
      </c>
      <c r="D57" s="26"/>
      <c r="E57" s="26"/>
      <c r="F57" s="81">
        <v>0.01</v>
      </c>
      <c r="G57" s="274">
        <f>G50</f>
        <v>140</v>
      </c>
      <c r="H57" s="47">
        <f>F57*G57</f>
        <v>1.4000000000000001</v>
      </c>
      <c r="I57" s="47">
        <f>H57*D50/1000</f>
        <v>10.829280000000001</v>
      </c>
      <c r="J57" s="26"/>
    </row>
    <row r="58" spans="1:12">
      <c r="A58" s="26" t="str">
        <f>A53</f>
        <v>Щетка</v>
      </c>
      <c r="B58" s="26"/>
      <c r="C58" s="26"/>
      <c r="D58" s="26"/>
      <c r="E58" s="26"/>
      <c r="F58" s="81">
        <v>7.0000000000000007E-2</v>
      </c>
      <c r="G58" s="107">
        <f>G53</f>
        <v>0</v>
      </c>
      <c r="H58" s="47">
        <f>F58*G58</f>
        <v>0</v>
      </c>
      <c r="I58" s="47">
        <f>H58*D50/1000</f>
        <v>0</v>
      </c>
      <c r="J58" s="26"/>
    </row>
    <row r="59" spans="1:12">
      <c r="A59" t="str">
        <f>A54</f>
        <v>Моющее средство</v>
      </c>
      <c r="C59" t="str">
        <f>C54</f>
        <v>кг</v>
      </c>
      <c r="F59" s="81">
        <v>2.5099999999999998</v>
      </c>
      <c r="G59">
        <f>G54</f>
        <v>75</v>
      </c>
      <c r="H59" s="47">
        <f>F59*G59</f>
        <v>188.24999999999997</v>
      </c>
      <c r="I59" s="21">
        <f>H59*D50/1000</f>
        <v>1456.1513999999997</v>
      </c>
    </row>
    <row r="60" spans="1:12">
      <c r="I60" s="21">
        <f>SUM(I57:I59)</f>
        <v>1466.9806799999997</v>
      </c>
    </row>
    <row r="61" spans="1:12" ht="13.5" thickBot="1">
      <c r="A61" s="71" t="s">
        <v>160</v>
      </c>
      <c r="B61" s="46"/>
    </row>
    <row r="62" spans="1:12" ht="13.5" thickBot="1">
      <c r="A62" s="29"/>
      <c r="B62" s="28"/>
      <c r="C62" s="28" t="s">
        <v>103</v>
      </c>
      <c r="D62" s="15" t="s">
        <v>108</v>
      </c>
      <c r="E62" s="375" t="s">
        <v>111</v>
      </c>
      <c r="F62" s="376"/>
      <c r="G62" s="376"/>
      <c r="H62" s="376"/>
      <c r="I62" s="376"/>
      <c r="J62" s="376"/>
      <c r="K62" s="377"/>
      <c r="L62" s="15" t="s">
        <v>124</v>
      </c>
    </row>
    <row r="63" spans="1:12">
      <c r="A63" s="30"/>
      <c r="B63" s="111"/>
      <c r="C63" s="111" t="s">
        <v>104</v>
      </c>
      <c r="D63" s="6" t="s">
        <v>109</v>
      </c>
      <c r="E63" s="15" t="s">
        <v>114</v>
      </c>
      <c r="F63" s="15" t="s">
        <v>112</v>
      </c>
      <c r="G63" s="15" t="s">
        <v>112</v>
      </c>
      <c r="H63" s="15" t="s">
        <v>113</v>
      </c>
      <c r="I63" s="15" t="s">
        <v>116</v>
      </c>
      <c r="J63" s="15" t="s">
        <v>118</v>
      </c>
      <c r="K63" s="15" t="s">
        <v>121</v>
      </c>
      <c r="L63" s="6" t="s">
        <v>125</v>
      </c>
    </row>
    <row r="64" spans="1:12">
      <c r="A64" s="30"/>
      <c r="B64" s="111"/>
      <c r="C64" s="111" t="s">
        <v>105</v>
      </c>
      <c r="D64" s="6" t="s">
        <v>110</v>
      </c>
      <c r="E64" s="6" t="s">
        <v>115</v>
      </c>
      <c r="F64" s="6"/>
      <c r="G64" s="6" t="s">
        <v>123</v>
      </c>
      <c r="H64" s="6"/>
      <c r="I64" s="6" t="s">
        <v>117</v>
      </c>
      <c r="J64" s="6" t="s">
        <v>119</v>
      </c>
      <c r="K64" s="6" t="s">
        <v>122</v>
      </c>
      <c r="L64" s="6" t="s">
        <v>127</v>
      </c>
    </row>
    <row r="65" spans="1:12" ht="13.5" thickBot="1">
      <c r="A65" s="31"/>
      <c r="B65" s="32"/>
      <c r="C65" s="32" t="s">
        <v>106</v>
      </c>
      <c r="D65" s="9"/>
      <c r="E65" s="9"/>
      <c r="F65" s="9"/>
      <c r="G65" s="9"/>
      <c r="H65" s="73">
        <f ca="1">Исх.данные!F51</f>
        <v>0.30199999999999999</v>
      </c>
      <c r="I65" s="73">
        <f ca="1">Исх.данные!F52</f>
        <v>0.89800000000000002</v>
      </c>
      <c r="J65" s="9" t="s">
        <v>120</v>
      </c>
      <c r="K65" s="9" t="s">
        <v>75</v>
      </c>
      <c r="L65" s="9"/>
    </row>
    <row r="66" spans="1:12">
      <c r="A66" s="26" t="s">
        <v>161</v>
      </c>
      <c r="C66" s="26"/>
      <c r="D66" s="26"/>
      <c r="E66" s="26"/>
      <c r="F66" s="26"/>
      <c r="G66" s="26"/>
      <c r="H66" s="26"/>
      <c r="I66" s="40"/>
      <c r="J66" s="40"/>
      <c r="K66" s="26"/>
      <c r="L66" s="26"/>
    </row>
    <row r="67" spans="1:12">
      <c r="A67" t="s">
        <v>165</v>
      </c>
      <c r="C67">
        <f>D50</f>
        <v>7735.2</v>
      </c>
      <c r="D67" s="21">
        <f>J39*C67/1000</f>
        <v>457.92384000000004</v>
      </c>
      <c r="E67">
        <f ca="1">Исх.данные!F54</f>
        <v>1.1200000000000001</v>
      </c>
      <c r="F67">
        <f>L41*D67</f>
        <v>19501.859188405801</v>
      </c>
      <c r="G67">
        <f>F67*E67</f>
        <v>21842.0822910145</v>
      </c>
      <c r="H67">
        <f>G67*H65</f>
        <v>6596.3088518863788</v>
      </c>
      <c r="I67">
        <f>I65*G67</f>
        <v>19614.18989733102</v>
      </c>
      <c r="J67">
        <f>I55</f>
        <v>16729.381151999998</v>
      </c>
      <c r="K67" s="74">
        <f>SUM(G67:J67)</f>
        <v>64781.962192231906</v>
      </c>
      <c r="L67" s="21">
        <f>K67/12/C67</f>
        <v>0.69791302737520144</v>
      </c>
    </row>
    <row r="68" spans="1:12">
      <c r="A68" t="s">
        <v>166</v>
      </c>
      <c r="C68">
        <f>D50</f>
        <v>7735.2</v>
      </c>
      <c r="D68" s="21">
        <f>K39*C68/1000</f>
        <v>76.733184000000008</v>
      </c>
      <c r="E68">
        <f ca="1">Исх.данные!F54</f>
        <v>1.1200000000000001</v>
      </c>
      <c r="F68">
        <f>D68*L41</f>
        <v>3267.8791072463773</v>
      </c>
      <c r="G68">
        <f>F68*E68</f>
        <v>3660.024600115943</v>
      </c>
      <c r="H68">
        <f>H65*G68</f>
        <v>1105.3274292350147</v>
      </c>
      <c r="I68">
        <f>I65*G68</f>
        <v>3286.7020909041171</v>
      </c>
      <c r="J68" s="21">
        <f>I60</f>
        <v>1466.9806799999997</v>
      </c>
      <c r="K68" s="74">
        <f>SUM(G68:J68)</f>
        <v>9519.0348002550745</v>
      </c>
      <c r="L68" s="21">
        <f>K68/12/C68</f>
        <v>0.10255105233494366</v>
      </c>
    </row>
    <row r="69" spans="1:12">
      <c r="D69" s="21"/>
      <c r="J69" s="21"/>
      <c r="K69" s="74"/>
      <c r="L69" s="21"/>
    </row>
    <row r="70" spans="1:12">
      <c r="D70" s="21"/>
      <c r="J70" s="21"/>
      <c r="K70" s="74"/>
      <c r="L70" s="21"/>
    </row>
    <row r="71" spans="1:12">
      <c r="D71" s="21"/>
      <c r="J71" s="21"/>
      <c r="K71" s="74"/>
      <c r="L71" s="21"/>
    </row>
    <row r="72" spans="1:12">
      <c r="D72" s="21"/>
      <c r="J72" s="21"/>
      <c r="K72" s="74"/>
      <c r="L72" s="21"/>
    </row>
    <row r="73" spans="1:12">
      <c r="D73" s="21"/>
      <c r="J73" s="21"/>
      <c r="K73" s="74"/>
      <c r="L73" s="21"/>
    </row>
    <row r="74" spans="1:12">
      <c r="D74" s="21"/>
      <c r="J74" s="21"/>
      <c r="K74" s="74"/>
      <c r="L74" s="21"/>
    </row>
    <row r="75" spans="1:12" ht="15" customHeight="1">
      <c r="B75" s="76" t="s">
        <v>128</v>
      </c>
      <c r="C75" s="21"/>
      <c r="J75" s="74"/>
      <c r="K75" s="21"/>
    </row>
    <row r="76" spans="1:12" ht="24.75" customHeight="1">
      <c r="A76" s="110" t="s">
        <v>163</v>
      </c>
    </row>
    <row r="77" spans="1:12">
      <c r="A77" t="s">
        <v>167</v>
      </c>
    </row>
    <row r="79" spans="1:12">
      <c r="A79" t="s">
        <v>134</v>
      </c>
    </row>
    <row r="80" spans="1:12" ht="13.5" thickBot="1"/>
    <row r="81" spans="1:13" ht="13.5" thickBot="1">
      <c r="A81" s="95" t="s">
        <v>135</v>
      </c>
      <c r="B81" s="96"/>
      <c r="C81" s="103" t="s">
        <v>137</v>
      </c>
      <c r="D81" s="95" t="s">
        <v>151</v>
      </c>
      <c r="E81" s="96"/>
      <c r="F81" s="91" t="s">
        <v>139</v>
      </c>
      <c r="G81" s="91" t="s">
        <v>88</v>
      </c>
      <c r="H81" s="86" t="s">
        <v>141</v>
      </c>
      <c r="I81" s="87"/>
      <c r="J81" s="88"/>
    </row>
    <row r="82" spans="1:13" ht="13.5" thickBot="1">
      <c r="A82" s="97" t="s">
        <v>74</v>
      </c>
      <c r="B82" s="100"/>
      <c r="C82" s="93" t="s">
        <v>138</v>
      </c>
      <c r="D82" s="97" t="s">
        <v>152</v>
      </c>
      <c r="E82" s="98"/>
      <c r="F82" s="94" t="s">
        <v>140</v>
      </c>
      <c r="G82" s="94" t="s">
        <v>89</v>
      </c>
      <c r="H82" s="392" t="s">
        <v>142</v>
      </c>
      <c r="I82" s="393"/>
      <c r="J82" s="91"/>
    </row>
    <row r="83" spans="1:13">
      <c r="A83" s="97"/>
      <c r="B83" s="100"/>
      <c r="C83" s="93"/>
      <c r="D83" s="99"/>
      <c r="E83" s="100"/>
      <c r="F83" s="94" t="s">
        <v>153</v>
      </c>
      <c r="G83" s="94"/>
      <c r="H83" s="89" t="s">
        <v>143</v>
      </c>
      <c r="I83" s="91" t="s">
        <v>145</v>
      </c>
      <c r="J83" s="93"/>
    </row>
    <row r="84" spans="1:13" ht="13.5" thickBot="1">
      <c r="A84" s="104"/>
      <c r="B84" s="105"/>
      <c r="C84" s="90"/>
      <c r="D84" s="101"/>
      <c r="E84" s="102"/>
      <c r="F84" s="92" t="s">
        <v>154</v>
      </c>
      <c r="G84" s="92"/>
      <c r="H84" s="90" t="s">
        <v>144</v>
      </c>
      <c r="I84" s="92" t="s">
        <v>146</v>
      </c>
      <c r="J84" s="90"/>
    </row>
    <row r="85" spans="1:13">
      <c r="A85" s="390" t="s">
        <v>78</v>
      </c>
      <c r="B85" s="391"/>
      <c r="C85" s="26" t="s">
        <v>149</v>
      </c>
      <c r="D85" s="81">
        <f ca="1">Исх.данные!G8</f>
        <v>7735.2</v>
      </c>
      <c r="E85" s="36"/>
      <c r="F85" s="36">
        <v>2E-3</v>
      </c>
      <c r="G85" s="274">
        <f>E17</f>
        <v>140</v>
      </c>
      <c r="H85" s="47">
        <f>F85*G85</f>
        <v>0.28000000000000003</v>
      </c>
      <c r="I85" s="47">
        <f>H85*D85/1000</f>
        <v>2.1658560000000002</v>
      </c>
      <c r="J85" s="47"/>
      <c r="L85" s="26"/>
    </row>
    <row r="86" spans="1:13">
      <c r="A86" s="390" t="s">
        <v>170</v>
      </c>
      <c r="B86" s="391"/>
      <c r="C86" s="26"/>
      <c r="D86" s="81"/>
      <c r="E86" s="36"/>
      <c r="F86" s="36">
        <v>1.9E-2</v>
      </c>
      <c r="G86" s="47">
        <f>E18</f>
        <v>85</v>
      </c>
      <c r="H86" s="47">
        <f t="shared" ref="H86:H91" si="3">F86*G86</f>
        <v>1.615</v>
      </c>
      <c r="I86" s="47">
        <f>H86*D85/1000</f>
        <v>12.492348</v>
      </c>
      <c r="J86" s="47"/>
      <c r="L86" s="21"/>
    </row>
    <row r="87" spans="1:13">
      <c r="A87" s="394" t="s">
        <v>171</v>
      </c>
      <c r="B87" s="395"/>
      <c r="C87" s="26"/>
      <c r="D87" s="81"/>
      <c r="E87" s="36"/>
      <c r="F87" s="36">
        <v>1E-3</v>
      </c>
      <c r="G87" s="47">
        <f>E19</f>
        <v>60</v>
      </c>
      <c r="H87" s="47">
        <f t="shared" si="3"/>
        <v>0.06</v>
      </c>
      <c r="I87" s="47">
        <f>H87*D85/1000</f>
        <v>0.46411199999999997</v>
      </c>
      <c r="J87" s="47"/>
      <c r="L87" s="21"/>
    </row>
    <row r="88" spans="1:13">
      <c r="A88" s="390" t="s">
        <v>85</v>
      </c>
      <c r="B88" s="391"/>
      <c r="C88" s="26"/>
      <c r="D88" s="81"/>
      <c r="E88" s="36"/>
      <c r="F88" s="36">
        <v>2E-3</v>
      </c>
      <c r="G88" s="107">
        <f>E20</f>
        <v>154</v>
      </c>
      <c r="H88" s="47">
        <f t="shared" si="3"/>
        <v>0.308</v>
      </c>
      <c r="I88" s="47">
        <f>H88*D85/1000</f>
        <v>2.3824415999999999</v>
      </c>
      <c r="J88" s="47"/>
      <c r="M88" t="s">
        <v>168</v>
      </c>
    </row>
    <row r="89" spans="1:13">
      <c r="A89" s="26" t="s">
        <v>87</v>
      </c>
      <c r="B89" s="26"/>
      <c r="C89" s="26"/>
      <c r="D89" s="81"/>
      <c r="E89" s="36"/>
      <c r="F89" s="36">
        <v>2E-3</v>
      </c>
      <c r="G89" s="107">
        <f>E21</f>
        <v>150</v>
      </c>
      <c r="H89" s="47">
        <f t="shared" si="3"/>
        <v>0.3</v>
      </c>
      <c r="I89" s="47">
        <f>H89*D85/1000</f>
        <v>2.32056</v>
      </c>
      <c r="J89" s="47"/>
      <c r="L89">
        <v>3.2</v>
      </c>
    </row>
    <row r="90" spans="1:13">
      <c r="A90" s="26" t="s">
        <v>172</v>
      </c>
      <c r="B90" s="26"/>
      <c r="C90" s="26"/>
      <c r="D90" s="78"/>
      <c r="E90" s="26"/>
      <c r="F90" s="81">
        <v>0.35</v>
      </c>
      <c r="G90" s="288">
        <f ca="1">Цены!E15</f>
        <v>120</v>
      </c>
      <c r="H90" s="47">
        <f t="shared" si="3"/>
        <v>42</v>
      </c>
      <c r="I90" s="47">
        <f>H90*D85/1000</f>
        <v>324.87839999999994</v>
      </c>
      <c r="J90" s="26"/>
      <c r="M90" t="s">
        <v>169</v>
      </c>
    </row>
    <row r="91" spans="1:13">
      <c r="A91" s="26" t="str">
        <f>A59</f>
        <v>Моющее средство</v>
      </c>
      <c r="B91" s="26"/>
      <c r="C91" s="26" t="s">
        <v>150</v>
      </c>
      <c r="D91" s="26"/>
      <c r="E91" s="26"/>
      <c r="F91" s="81">
        <v>0.28999999999999998</v>
      </c>
      <c r="G91" s="26">
        <f>G59</f>
        <v>75</v>
      </c>
      <c r="H91" s="47">
        <f t="shared" si="3"/>
        <v>21.75</v>
      </c>
      <c r="I91" s="47">
        <f>H91*D85/1000</f>
        <v>168.2406</v>
      </c>
      <c r="J91" s="26"/>
    </row>
    <row r="92" spans="1:13">
      <c r="A92" s="26"/>
      <c r="B92" s="26"/>
      <c r="C92" s="26"/>
      <c r="D92" s="26"/>
      <c r="E92" s="26"/>
      <c r="F92" s="81"/>
      <c r="G92" s="47"/>
      <c r="H92" s="47"/>
      <c r="I92" s="47">
        <f>SUM(I85:I91)</f>
        <v>512.94431759999998</v>
      </c>
      <c r="J92" s="26"/>
    </row>
    <row r="93" spans="1:13" ht="13.5" thickBot="1">
      <c r="A93" s="26" t="s">
        <v>173</v>
      </c>
      <c r="B93" s="26"/>
      <c r="C93" s="26"/>
      <c r="D93" s="26"/>
      <c r="E93" s="26"/>
      <c r="F93" s="81"/>
      <c r="G93" s="107"/>
      <c r="H93" s="47"/>
      <c r="I93" s="47"/>
      <c r="J93" s="26"/>
    </row>
    <row r="94" spans="1:13" ht="13.5" thickBot="1">
      <c r="A94" s="15"/>
      <c r="B94" s="15" t="s">
        <v>103</v>
      </c>
      <c r="C94" s="15" t="s">
        <v>108</v>
      </c>
      <c r="D94" s="375" t="s">
        <v>111</v>
      </c>
      <c r="E94" s="376"/>
      <c r="F94" s="376"/>
      <c r="G94" s="376"/>
      <c r="H94" s="376"/>
      <c r="I94" s="376"/>
      <c r="J94" s="377"/>
      <c r="K94" s="15" t="s">
        <v>124</v>
      </c>
    </row>
    <row r="95" spans="1:13">
      <c r="A95" s="6"/>
      <c r="B95" s="6" t="s">
        <v>104</v>
      </c>
      <c r="C95" s="6" t="s">
        <v>109</v>
      </c>
      <c r="D95" s="15" t="s">
        <v>114</v>
      </c>
      <c r="E95" s="15" t="s">
        <v>112</v>
      </c>
      <c r="F95" s="15" t="s">
        <v>112</v>
      </c>
      <c r="G95" s="15" t="s">
        <v>113</v>
      </c>
      <c r="H95" s="15" t="s">
        <v>116</v>
      </c>
      <c r="I95" s="15" t="s">
        <v>118</v>
      </c>
      <c r="J95" s="15" t="s">
        <v>121</v>
      </c>
      <c r="K95" s="6" t="s">
        <v>125</v>
      </c>
    </row>
    <row r="96" spans="1:13">
      <c r="A96" s="6"/>
      <c r="B96" s="6" t="s">
        <v>105</v>
      </c>
      <c r="C96" s="6" t="s">
        <v>110</v>
      </c>
      <c r="D96" s="6" t="s">
        <v>115</v>
      </c>
      <c r="E96" s="6"/>
      <c r="F96" s="6" t="s">
        <v>123</v>
      </c>
      <c r="G96" s="6"/>
      <c r="H96" s="6" t="s">
        <v>117</v>
      </c>
      <c r="I96" s="6" t="s">
        <v>119</v>
      </c>
      <c r="J96" s="6" t="s">
        <v>122</v>
      </c>
      <c r="K96" s="6" t="s">
        <v>127</v>
      </c>
    </row>
    <row r="97" spans="1:11" ht="13.5" thickBot="1">
      <c r="A97" s="9"/>
      <c r="B97" s="9" t="s">
        <v>106</v>
      </c>
      <c r="C97" s="9"/>
      <c r="D97" s="9"/>
      <c r="E97" s="9"/>
      <c r="F97" s="9"/>
      <c r="G97" s="73">
        <f ca="1">Исх.данные!F51</f>
        <v>0.30199999999999999</v>
      </c>
      <c r="H97" s="73">
        <f ca="1">Исх.данные!F52</f>
        <v>0.89800000000000002</v>
      </c>
      <c r="I97" s="9" t="s">
        <v>120</v>
      </c>
      <c r="J97" s="9" t="s">
        <v>75</v>
      </c>
      <c r="K97" s="9"/>
    </row>
    <row r="98" spans="1:11">
      <c r="A98" s="26" t="s">
        <v>174</v>
      </c>
      <c r="B98" s="26">
        <f>D85</f>
        <v>7735.2</v>
      </c>
      <c r="C98" s="26">
        <f>L89*B98/1000</f>
        <v>24.75264</v>
      </c>
      <c r="D98" s="26">
        <f ca="1">Исх.данные!C54</f>
        <v>1.1200000000000001</v>
      </c>
      <c r="E98" s="26">
        <f ca="1">Исх.данные!F50*Сод.помещ.!C98</f>
        <v>1054.1545507246378</v>
      </c>
      <c r="F98" s="47">
        <f>E98*D98</f>
        <v>1180.6530968115944</v>
      </c>
      <c r="G98" s="26">
        <f>F98*G97</f>
        <v>356.55723523710151</v>
      </c>
      <c r="H98" s="47">
        <f>F98*H97</f>
        <v>1060.2264809368119</v>
      </c>
      <c r="I98" s="47">
        <f>I92</f>
        <v>512.94431759999998</v>
      </c>
      <c r="J98" s="47">
        <f>SUM(F98:I98)</f>
        <v>3110.3811305855074</v>
      </c>
      <c r="K98" s="47">
        <f>J98/12/B98</f>
        <v>3.3508949677938805E-2</v>
      </c>
    </row>
    <row r="99" spans="1:11">
      <c r="A99" s="41" t="s">
        <v>64</v>
      </c>
    </row>
  </sheetData>
  <mergeCells count="41">
    <mergeCell ref="K13:M13"/>
    <mergeCell ref="A52:B52"/>
    <mergeCell ref="A3:G3"/>
    <mergeCell ref="F16:G16"/>
    <mergeCell ref="H17:I17"/>
    <mergeCell ref="F17:G17"/>
    <mergeCell ref="H15:I15"/>
    <mergeCell ref="F15:G15"/>
    <mergeCell ref="B13:C13"/>
    <mergeCell ref="F13:J13"/>
    <mergeCell ref="H14:I14"/>
    <mergeCell ref="F14:G14"/>
    <mergeCell ref="B14:C14"/>
    <mergeCell ref="H16:I16"/>
    <mergeCell ref="B15:C15"/>
    <mergeCell ref="B16:C16"/>
    <mergeCell ref="B17:C17"/>
    <mergeCell ref="H20:I20"/>
    <mergeCell ref="H46:I46"/>
    <mergeCell ref="H21:I21"/>
    <mergeCell ref="F20:G20"/>
    <mergeCell ref="E24:K24"/>
    <mergeCell ref="B18:C18"/>
    <mergeCell ref="H18:I18"/>
    <mergeCell ref="H19:I19"/>
    <mergeCell ref="A51:B51"/>
    <mergeCell ref="F21:G21"/>
    <mergeCell ref="B19:C19"/>
    <mergeCell ref="F18:G18"/>
    <mergeCell ref="B21:C21"/>
    <mergeCell ref="F19:G19"/>
    <mergeCell ref="B20:C20"/>
    <mergeCell ref="A50:B50"/>
    <mergeCell ref="A88:B88"/>
    <mergeCell ref="D94:J94"/>
    <mergeCell ref="A53:B53"/>
    <mergeCell ref="E62:K62"/>
    <mergeCell ref="H82:I82"/>
    <mergeCell ref="A85:B85"/>
    <mergeCell ref="A86:B86"/>
    <mergeCell ref="A87:B87"/>
  </mergeCells>
  <phoneticPr fontId="5" type="noConversion"/>
  <pageMargins left="0.49" right="0.28000000000000003" top="0.65" bottom="0.42" header="0.5" footer="0.5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60"/>
  <sheetViews>
    <sheetView topLeftCell="A205" workbookViewId="0">
      <selection activeCell="H215" sqref="H215"/>
    </sheetView>
  </sheetViews>
  <sheetFormatPr defaultRowHeight="12.75"/>
  <cols>
    <col min="1" max="1" width="4.7109375" customWidth="1"/>
    <col min="5" max="5" width="11.85546875" customWidth="1"/>
    <col min="6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10.5703125" bestFit="1" customWidth="1"/>
    <col min="12" max="12" width="9.28515625" bestFit="1" customWidth="1"/>
  </cols>
  <sheetData>
    <row r="1" spans="1:13" ht="15.75">
      <c r="A1" s="109" t="s">
        <v>176</v>
      </c>
    </row>
    <row r="2" spans="1:13" ht="15.75">
      <c r="A2" s="109"/>
    </row>
    <row r="3" spans="1:13">
      <c r="A3" s="75" t="s">
        <v>178</v>
      </c>
      <c r="B3" s="75"/>
      <c r="C3" s="75"/>
    </row>
    <row r="4" spans="1:13">
      <c r="A4" s="110" t="s">
        <v>177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>
      <c r="A5" t="s">
        <v>179</v>
      </c>
      <c r="I5" t="s">
        <v>193</v>
      </c>
      <c r="M5">
        <f>250.8*0.5</f>
        <v>125.4</v>
      </c>
    </row>
    <row r="6" spans="1:13">
      <c r="A6" t="s">
        <v>126</v>
      </c>
      <c r="L6">
        <v>1</v>
      </c>
      <c r="M6" s="74">
        <v>1</v>
      </c>
    </row>
    <row r="7" spans="1:13">
      <c r="A7" t="str">
        <f ca="1">Исх.данные!B47</f>
        <v>тариф 1 разряда</v>
      </c>
      <c r="L7" s="21"/>
      <c r="M7" s="21">
        <f ca="1">Исх.данные!F50</f>
        <v>42.587560386473434</v>
      </c>
    </row>
    <row r="8" spans="1:13">
      <c r="A8" t="str">
        <f ca="1">Исх.данные!B50</f>
        <v>Часовая ставка 1 разряда (руб/час)</v>
      </c>
      <c r="M8" s="21"/>
    </row>
    <row r="9" spans="1:13" ht="13.5" thickBot="1">
      <c r="A9" t="s">
        <v>185</v>
      </c>
      <c r="M9" s="21"/>
    </row>
    <row r="10" spans="1:13">
      <c r="B10" s="95" t="s">
        <v>135</v>
      </c>
      <c r="C10" s="118"/>
      <c r="D10" s="96"/>
      <c r="E10" s="103" t="s">
        <v>187</v>
      </c>
      <c r="F10" s="91" t="s">
        <v>88</v>
      </c>
      <c r="G10" s="91" t="s">
        <v>189</v>
      </c>
      <c r="I10" s="85"/>
      <c r="J10" s="85"/>
      <c r="K10" s="83"/>
      <c r="M10" s="21"/>
    </row>
    <row r="11" spans="1:13">
      <c r="B11" s="97" t="s">
        <v>74</v>
      </c>
      <c r="C11" s="83"/>
      <c r="D11" s="98"/>
      <c r="E11" s="93" t="s">
        <v>188</v>
      </c>
      <c r="F11" s="94" t="s">
        <v>89</v>
      </c>
      <c r="G11" s="94" t="s">
        <v>190</v>
      </c>
      <c r="I11" s="83"/>
      <c r="J11" s="83"/>
      <c r="K11" s="83"/>
      <c r="M11" s="21"/>
    </row>
    <row r="12" spans="1:13">
      <c r="B12" s="97"/>
      <c r="C12" s="83"/>
      <c r="D12" s="98"/>
      <c r="E12" s="94" t="s">
        <v>153</v>
      </c>
      <c r="F12" s="94"/>
      <c r="G12" s="6" t="s">
        <v>191</v>
      </c>
      <c r="I12" s="85"/>
      <c r="J12" s="83"/>
      <c r="K12" s="82"/>
      <c r="M12" s="21"/>
    </row>
    <row r="13" spans="1:13" ht="13.5" thickBot="1">
      <c r="B13" s="104"/>
      <c r="C13" s="119"/>
      <c r="D13" s="105"/>
      <c r="E13" s="92" t="s">
        <v>154</v>
      </c>
      <c r="F13" s="92"/>
      <c r="G13" s="9"/>
      <c r="I13" s="82"/>
      <c r="J13" s="83"/>
      <c r="K13" s="82"/>
      <c r="M13" s="21"/>
    </row>
    <row r="14" spans="1:13">
      <c r="A14" s="45" t="s">
        <v>77</v>
      </c>
      <c r="B14" s="406" t="s">
        <v>186</v>
      </c>
      <c r="C14" s="407"/>
      <c r="D14" s="408"/>
      <c r="E14" s="106">
        <v>0.04</v>
      </c>
      <c r="F14" s="51">
        <f ca="1">Цены!E7</f>
        <v>140</v>
      </c>
      <c r="G14" s="113">
        <f t="shared" ref="G14:G19" si="0">E14*F14</f>
        <v>5.6000000000000005</v>
      </c>
      <c r="I14" s="107"/>
      <c r="J14" s="26"/>
      <c r="K14" s="26"/>
    </row>
    <row r="15" spans="1:13">
      <c r="A15" s="45" t="s">
        <v>79</v>
      </c>
      <c r="B15" s="409" t="s">
        <v>180</v>
      </c>
      <c r="C15" s="410"/>
      <c r="D15" s="411"/>
      <c r="E15" s="106">
        <v>0.04</v>
      </c>
      <c r="F15" s="51">
        <f ca="1">Цены!E16</f>
        <v>255</v>
      </c>
      <c r="G15" s="113">
        <f t="shared" si="0"/>
        <v>10.200000000000001</v>
      </c>
      <c r="I15" s="107"/>
      <c r="J15" s="26"/>
      <c r="K15" s="26"/>
    </row>
    <row r="16" spans="1:13">
      <c r="A16" s="45" t="s">
        <v>133</v>
      </c>
      <c r="B16" s="409" t="s">
        <v>181</v>
      </c>
      <c r="C16" s="410"/>
      <c r="D16" s="411"/>
      <c r="E16" s="106">
        <v>0.13</v>
      </c>
      <c r="F16" s="51">
        <f ca="1">Цены!E17</f>
        <v>220</v>
      </c>
      <c r="G16" s="113">
        <f t="shared" si="0"/>
        <v>28.6</v>
      </c>
      <c r="I16" s="107"/>
      <c r="J16" s="26"/>
      <c r="K16" s="26"/>
    </row>
    <row r="17" spans="1:12">
      <c r="A17" s="45" t="s">
        <v>82</v>
      </c>
      <c r="B17" s="409" t="s">
        <v>182</v>
      </c>
      <c r="C17" s="410"/>
      <c r="D17" s="411"/>
      <c r="E17" s="106">
        <v>6.71</v>
      </c>
      <c r="F17" s="51">
        <f ca="1">Цены!E18</f>
        <v>67</v>
      </c>
      <c r="G17" s="113">
        <f t="shared" si="0"/>
        <v>449.57</v>
      </c>
      <c r="I17" s="107"/>
      <c r="J17" s="26"/>
      <c r="K17" s="26"/>
    </row>
    <row r="18" spans="1:12">
      <c r="A18" s="79" t="s">
        <v>84</v>
      </c>
      <c r="B18" s="390" t="s">
        <v>183</v>
      </c>
      <c r="C18" s="391"/>
      <c r="D18" s="412"/>
      <c r="E18" s="112">
        <v>46.23</v>
      </c>
      <c r="F18" s="63">
        <f ca="1">Цены!E19</f>
        <v>0.65</v>
      </c>
      <c r="G18" s="113">
        <f t="shared" si="0"/>
        <v>30.049499999999998</v>
      </c>
      <c r="I18" s="107"/>
      <c r="J18" s="26"/>
      <c r="K18" s="26"/>
    </row>
    <row r="19" spans="1:12">
      <c r="A19" s="45" t="s">
        <v>86</v>
      </c>
      <c r="B19" s="413" t="s">
        <v>184</v>
      </c>
      <c r="C19" s="414"/>
      <c r="D19" s="415"/>
      <c r="E19" s="106">
        <v>0.06</v>
      </c>
      <c r="F19" s="51">
        <f ca="1">Цены!E21</f>
        <v>2100</v>
      </c>
      <c r="G19" s="113">
        <f t="shared" si="0"/>
        <v>126</v>
      </c>
      <c r="I19" s="120"/>
      <c r="J19" s="26"/>
      <c r="K19" s="26"/>
    </row>
    <row r="20" spans="1:12">
      <c r="A20" s="77"/>
      <c r="B20" s="114"/>
      <c r="C20" s="117"/>
      <c r="D20" s="108"/>
      <c r="E20" s="115"/>
      <c r="F20" s="115"/>
      <c r="G20" s="116">
        <f>SUM(G14:G19)</f>
        <v>650.01949999999999</v>
      </c>
      <c r="I20" s="26"/>
      <c r="J20" s="26"/>
      <c r="K20" s="26"/>
    </row>
    <row r="22" spans="1:12" ht="13.5" thickBot="1">
      <c r="A22" s="71" t="s">
        <v>235</v>
      </c>
      <c r="B22" s="46"/>
    </row>
    <row r="23" spans="1:12" ht="13.5" thickBot="1">
      <c r="A23" s="15" t="s">
        <v>71</v>
      </c>
      <c r="B23" s="15" t="s">
        <v>103</v>
      </c>
      <c r="C23" s="15" t="s">
        <v>107</v>
      </c>
      <c r="D23" s="15" t="s">
        <v>108</v>
      </c>
      <c r="E23" s="375" t="s">
        <v>111</v>
      </c>
      <c r="F23" s="376"/>
      <c r="G23" s="376"/>
      <c r="H23" s="376"/>
      <c r="I23" s="376"/>
      <c r="J23" s="376"/>
      <c r="K23" s="377"/>
      <c r="L23" s="15" t="s">
        <v>124</v>
      </c>
    </row>
    <row r="24" spans="1:12">
      <c r="A24" s="6" t="s">
        <v>102</v>
      </c>
      <c r="B24" s="6" t="s">
        <v>104</v>
      </c>
      <c r="C24" s="6" t="s">
        <v>104</v>
      </c>
      <c r="D24" s="6" t="s">
        <v>109</v>
      </c>
      <c r="E24" s="15" t="s">
        <v>114</v>
      </c>
      <c r="F24" s="15" t="s">
        <v>112</v>
      </c>
      <c r="G24" s="15" t="s">
        <v>112</v>
      </c>
      <c r="H24" s="15" t="s">
        <v>113</v>
      </c>
      <c r="I24" s="15" t="s">
        <v>116</v>
      </c>
      <c r="J24" s="15" t="s">
        <v>118</v>
      </c>
      <c r="K24" s="15" t="s">
        <v>121</v>
      </c>
      <c r="L24" s="6" t="s">
        <v>125</v>
      </c>
    </row>
    <row r="25" spans="1:12">
      <c r="A25" s="6"/>
      <c r="B25" s="6" t="s">
        <v>105</v>
      </c>
      <c r="C25" s="6" t="s">
        <v>105</v>
      </c>
      <c r="D25" s="6" t="s">
        <v>110</v>
      </c>
      <c r="E25" s="6" t="s">
        <v>115</v>
      </c>
      <c r="F25" s="6"/>
      <c r="G25" s="6" t="s">
        <v>123</v>
      </c>
      <c r="H25" s="6"/>
      <c r="I25" s="6" t="s">
        <v>117</v>
      </c>
      <c r="J25" s="6" t="s">
        <v>119</v>
      </c>
      <c r="K25" s="6" t="s">
        <v>122</v>
      </c>
      <c r="L25" s="6" t="s">
        <v>127</v>
      </c>
    </row>
    <row r="26" spans="1:12" ht="13.5" thickBot="1">
      <c r="A26" s="9"/>
      <c r="B26" s="9" t="s">
        <v>106</v>
      </c>
      <c r="C26" s="9" t="s">
        <v>106</v>
      </c>
      <c r="D26" s="9" t="s">
        <v>192</v>
      </c>
      <c r="E26" s="9"/>
      <c r="F26" s="9"/>
      <c r="G26" s="9"/>
      <c r="H26" s="73">
        <f ca="1">Исх.данные!F51</f>
        <v>0.30199999999999999</v>
      </c>
      <c r="I26" s="73">
        <f ca="1">Исх.данные!F52</f>
        <v>0.89800000000000002</v>
      </c>
      <c r="J26" s="9" t="s">
        <v>120</v>
      </c>
      <c r="K26" s="9" t="s">
        <v>75</v>
      </c>
      <c r="L26" s="9"/>
    </row>
    <row r="27" spans="1:12">
      <c r="A27" t="s">
        <v>16</v>
      </c>
      <c r="B27">
        <f ca="1">Исх.данные!C8</f>
        <v>2595.5</v>
      </c>
      <c r="C27">
        <f ca="1">Исх.данные!C26</f>
        <v>1300</v>
      </c>
      <c r="D27" s="21">
        <f ca="1">M5</f>
        <v>125.4</v>
      </c>
      <c r="E27">
        <f ca="1">Исх.данные!F54</f>
        <v>1.1200000000000001</v>
      </c>
      <c r="F27" s="21">
        <f>C27*D27/1000*M7</f>
        <v>6942.6240942028999</v>
      </c>
      <c r="G27" s="21">
        <f t="shared" ref="G27:G32" si="1">F27*E27</f>
        <v>7775.7389855072488</v>
      </c>
      <c r="H27" s="21">
        <f>G27*H26</f>
        <v>2348.273173623189</v>
      </c>
      <c r="I27" s="21">
        <f>G27*I26</f>
        <v>6982.6136089855099</v>
      </c>
      <c r="J27" s="21">
        <f>G20*C27/1000</f>
        <v>845.02535</v>
      </c>
      <c r="K27" s="21">
        <f t="shared" ref="K27:K32" si="2">SUM(G27:J27)</f>
        <v>17951.651118115948</v>
      </c>
      <c r="L27" s="21">
        <f t="shared" ref="L27:L32" si="3">K27/12/B27</f>
        <v>0.57637099846259388</v>
      </c>
    </row>
    <row r="28" spans="1:12">
      <c r="A28" t="s">
        <v>28</v>
      </c>
      <c r="B28">
        <f ca="1">Исх.данные!D8</f>
        <v>2595.5</v>
      </c>
      <c r="C28">
        <f ca="1">Исх.данные!D26</f>
        <v>1300</v>
      </c>
      <c r="D28" s="21">
        <f ca="1">M5</f>
        <v>125.4</v>
      </c>
      <c r="E28">
        <f ca="1">Исх.данные!F54</f>
        <v>1.1200000000000001</v>
      </c>
      <c r="F28" s="21">
        <f>C28*D28/1000*M7</f>
        <v>6942.6240942028999</v>
      </c>
      <c r="G28" s="21">
        <f t="shared" si="1"/>
        <v>7775.7389855072488</v>
      </c>
      <c r="H28" s="21">
        <f>G28*H26</f>
        <v>2348.273173623189</v>
      </c>
      <c r="I28" s="21">
        <f>G28*I26</f>
        <v>6982.6136089855099</v>
      </c>
      <c r="J28" s="21">
        <f>G20*C28/1000</f>
        <v>845.02535</v>
      </c>
      <c r="K28" s="21">
        <f t="shared" si="2"/>
        <v>17951.651118115948</v>
      </c>
      <c r="L28" s="21">
        <f t="shared" si="3"/>
        <v>0.57637099846259388</v>
      </c>
    </row>
    <row r="29" spans="1:12">
      <c r="A29" t="s">
        <v>36</v>
      </c>
      <c r="B29">
        <f ca="1">Исх.данные!E8</f>
        <v>7735.2</v>
      </c>
      <c r="C29">
        <f ca="1">Исх.данные!G26</f>
        <v>5765</v>
      </c>
      <c r="D29" s="21">
        <f ca="1">M5</f>
        <v>125.4</v>
      </c>
      <c r="E29">
        <f ca="1">Исх.данные!F54</f>
        <v>1.1200000000000001</v>
      </c>
      <c r="F29" s="21">
        <f>C29*D29/1000*M7</f>
        <v>30787.867617753629</v>
      </c>
      <c r="G29" s="21">
        <f t="shared" si="1"/>
        <v>34482.411731884065</v>
      </c>
      <c r="H29" s="21">
        <f>G29*H26</f>
        <v>10413.688343028987</v>
      </c>
      <c r="I29" s="21">
        <f>G29*I26</f>
        <v>30965.205735231892</v>
      </c>
      <c r="J29" s="21">
        <f>G20*C29/1000</f>
        <v>3747.3624175</v>
      </c>
      <c r="K29" s="21">
        <f t="shared" si="2"/>
        <v>79608.668227644943</v>
      </c>
      <c r="L29" s="21">
        <f t="shared" si="3"/>
        <v>0.85764501055397124</v>
      </c>
    </row>
    <row r="30" spans="1:12">
      <c r="A30" t="s">
        <v>39</v>
      </c>
      <c r="B30">
        <f ca="1">Исх.данные!F8</f>
        <v>7735.2</v>
      </c>
      <c r="C30">
        <f ca="1">Исх.данные!G26</f>
        <v>5765</v>
      </c>
      <c r="D30" s="21">
        <f ca="1">M5</f>
        <v>125.4</v>
      </c>
      <c r="E30">
        <f ca="1">Исх.данные!F54</f>
        <v>1.1200000000000001</v>
      </c>
      <c r="F30" s="21">
        <f>C30*D30/1000*M7</f>
        <v>30787.867617753629</v>
      </c>
      <c r="G30" s="21">
        <f t="shared" si="1"/>
        <v>34482.411731884065</v>
      </c>
      <c r="H30" s="21">
        <f>G30*H26</f>
        <v>10413.688343028987</v>
      </c>
      <c r="I30" s="21">
        <f>G30*I26</f>
        <v>30965.205735231892</v>
      </c>
      <c r="J30" s="21">
        <f>G20*C30/1000</f>
        <v>3747.3624175</v>
      </c>
      <c r="K30" s="21">
        <f t="shared" si="2"/>
        <v>79608.668227644943</v>
      </c>
      <c r="L30" s="21">
        <f t="shared" si="3"/>
        <v>0.85764501055397124</v>
      </c>
    </row>
    <row r="31" spans="1:12">
      <c r="A31" t="s">
        <v>64</v>
      </c>
      <c r="B31">
        <f ca="1">Исх.данные!G8</f>
        <v>7735.2</v>
      </c>
      <c r="C31">
        <f ca="1">Исх.данные!G26</f>
        <v>5765</v>
      </c>
      <c r="D31" s="21">
        <f ca="1">M5</f>
        <v>125.4</v>
      </c>
      <c r="E31">
        <f ca="1">Исх.данные!F54</f>
        <v>1.1200000000000001</v>
      </c>
      <c r="F31" s="21">
        <f>C31*D31/1000*M7</f>
        <v>30787.867617753629</v>
      </c>
      <c r="G31" s="21">
        <f t="shared" si="1"/>
        <v>34482.411731884065</v>
      </c>
      <c r="H31" s="21">
        <f>G31*H26</f>
        <v>10413.688343028987</v>
      </c>
      <c r="I31" s="21">
        <f>G31*I26</f>
        <v>30965.205735231892</v>
      </c>
      <c r="J31" s="21">
        <f>G20*C31/1000</f>
        <v>3747.3624175</v>
      </c>
      <c r="K31" s="21">
        <f t="shared" si="2"/>
        <v>79608.668227644943</v>
      </c>
      <c r="L31" s="21">
        <f t="shared" si="3"/>
        <v>0.85764501055397124</v>
      </c>
    </row>
    <row r="32" spans="1:12">
      <c r="A32" t="s">
        <v>175</v>
      </c>
      <c r="B32">
        <f ca="1">Исх.данные!L8</f>
        <v>1291.4000000000001</v>
      </c>
      <c r="C32" s="42">
        <f ca="1">Исх.данные!L26</f>
        <v>650</v>
      </c>
      <c r="D32" s="21">
        <f ca="1">M5</f>
        <v>125.4</v>
      </c>
      <c r="E32">
        <f ca="1">Исх.данные!F54</f>
        <v>1.1200000000000001</v>
      </c>
      <c r="F32" s="21">
        <f>C32*D32/1000*M7</f>
        <v>3471.3120471014499</v>
      </c>
      <c r="G32" s="21">
        <f t="shared" si="1"/>
        <v>3887.8694927536244</v>
      </c>
      <c r="H32" s="21">
        <f>G32*H26</f>
        <v>1174.1365868115945</v>
      </c>
      <c r="I32" s="21">
        <f>G32*I26</f>
        <v>3491.306804492755</v>
      </c>
      <c r="J32" s="21">
        <f>G20*C32/1000</f>
        <v>422.512675</v>
      </c>
      <c r="K32" s="21">
        <f t="shared" si="2"/>
        <v>8975.8255590579738</v>
      </c>
      <c r="L32" s="21">
        <f t="shared" si="3"/>
        <v>0.5792050977658596</v>
      </c>
    </row>
    <row r="34" spans="1:13">
      <c r="A34" s="75" t="s">
        <v>194</v>
      </c>
    </row>
    <row r="35" spans="1:13">
      <c r="A35" t="s">
        <v>177</v>
      </c>
    </row>
    <row r="36" spans="1:13">
      <c r="A36" t="s">
        <v>195</v>
      </c>
      <c r="M36">
        <v>137.5</v>
      </c>
    </row>
    <row r="37" spans="1:13">
      <c r="A37" t="s">
        <v>126</v>
      </c>
      <c r="L37">
        <v>1</v>
      </c>
      <c r="M37" s="74">
        <v>1</v>
      </c>
    </row>
    <row r="38" spans="1:13">
      <c r="A38" t="str">
        <f>A8</f>
        <v>Часовая ставка 1 разряда (руб/час)</v>
      </c>
      <c r="L38" s="21"/>
      <c r="M38" s="21">
        <f ca="1">Исх.данные!F50</f>
        <v>42.587560386473434</v>
      </c>
    </row>
    <row r="39" spans="1:13">
      <c r="M39" s="21"/>
    </row>
    <row r="40" spans="1:13" ht="13.5" thickBot="1">
      <c r="A40" t="s">
        <v>196</v>
      </c>
      <c r="M40" s="21"/>
    </row>
    <row r="41" spans="1:13">
      <c r="B41" s="95" t="s">
        <v>135</v>
      </c>
      <c r="C41" s="118"/>
      <c r="D41" s="96"/>
      <c r="E41" s="103" t="s">
        <v>187</v>
      </c>
      <c r="F41" s="91" t="s">
        <v>88</v>
      </c>
      <c r="G41" s="91" t="s">
        <v>189</v>
      </c>
      <c r="I41" s="85"/>
      <c r="J41" s="85"/>
      <c r="K41" s="83"/>
      <c r="M41" s="21"/>
    </row>
    <row r="42" spans="1:13">
      <c r="B42" s="97" t="s">
        <v>74</v>
      </c>
      <c r="C42" s="83"/>
      <c r="D42" s="98"/>
      <c r="E42" s="93" t="s">
        <v>188</v>
      </c>
      <c r="F42" s="94" t="s">
        <v>89</v>
      </c>
      <c r="G42" s="94" t="s">
        <v>190</v>
      </c>
      <c r="I42" s="83"/>
      <c r="J42" s="83"/>
      <c r="K42" s="83"/>
      <c r="M42" s="21"/>
    </row>
    <row r="43" spans="1:13">
      <c r="B43" s="97"/>
      <c r="C43" s="83"/>
      <c r="D43" s="98"/>
      <c r="E43" s="94" t="s">
        <v>153</v>
      </c>
      <c r="F43" s="94"/>
      <c r="G43" s="6" t="s">
        <v>197</v>
      </c>
      <c r="I43" s="85"/>
      <c r="J43" s="83"/>
      <c r="K43" s="82"/>
      <c r="M43" s="21"/>
    </row>
    <row r="44" spans="1:13" ht="13.5" thickBot="1">
      <c r="B44" s="104"/>
      <c r="C44" s="119"/>
      <c r="D44" s="105"/>
      <c r="E44" s="92" t="s">
        <v>154</v>
      </c>
      <c r="F44" s="92"/>
      <c r="G44" s="9" t="s">
        <v>198</v>
      </c>
      <c r="I44" s="82"/>
      <c r="J44" s="83"/>
      <c r="K44" s="82"/>
      <c r="M44" s="21"/>
    </row>
    <row r="45" spans="1:13">
      <c r="A45" s="45" t="s">
        <v>77</v>
      </c>
      <c r="B45" s="406" t="s">
        <v>186</v>
      </c>
      <c r="C45" s="407"/>
      <c r="D45" s="408"/>
      <c r="E45" s="106">
        <v>0.01</v>
      </c>
      <c r="F45" s="51">
        <f ca="1">Цены!E7</f>
        <v>140</v>
      </c>
      <c r="G45" s="113">
        <f t="shared" ref="G45:G50" si="4">E45*F45</f>
        <v>1.4000000000000001</v>
      </c>
      <c r="I45" s="107"/>
      <c r="J45" s="26"/>
      <c r="K45" s="26"/>
    </row>
    <row r="46" spans="1:13">
      <c r="A46" s="45" t="s">
        <v>79</v>
      </c>
      <c r="B46" s="409" t="s">
        <v>180</v>
      </c>
      <c r="C46" s="410"/>
      <c r="D46" s="411"/>
      <c r="E46" s="106">
        <v>0.01</v>
      </c>
      <c r="F46" s="51">
        <f ca="1">Цены!E16</f>
        <v>255</v>
      </c>
      <c r="G46" s="113">
        <f t="shared" si="4"/>
        <v>2.5500000000000003</v>
      </c>
      <c r="I46" s="107"/>
      <c r="J46" s="26"/>
      <c r="K46" s="26"/>
    </row>
    <row r="47" spans="1:13">
      <c r="A47" s="45" t="s">
        <v>133</v>
      </c>
      <c r="B47" s="409" t="s">
        <v>181</v>
      </c>
      <c r="C47" s="410"/>
      <c r="D47" s="411"/>
      <c r="E47" s="106">
        <v>0.03</v>
      </c>
      <c r="F47" s="51">
        <f ca="1">Цены!E17</f>
        <v>220</v>
      </c>
      <c r="G47" s="113">
        <f t="shared" si="4"/>
        <v>6.6</v>
      </c>
      <c r="I47" s="107"/>
      <c r="J47" s="26"/>
      <c r="K47" s="26"/>
    </row>
    <row r="48" spans="1:13">
      <c r="A48" s="45" t="s">
        <v>82</v>
      </c>
      <c r="B48" s="409" t="s">
        <v>182</v>
      </c>
      <c r="C48" s="410"/>
      <c r="D48" s="411"/>
      <c r="E48" s="106">
        <v>1.71</v>
      </c>
      <c r="F48" s="51">
        <f ca="1">Цены!E18</f>
        <v>67</v>
      </c>
      <c r="G48" s="113">
        <f t="shared" si="4"/>
        <v>114.57</v>
      </c>
      <c r="I48" s="107"/>
      <c r="J48" s="26"/>
      <c r="K48" s="26"/>
    </row>
    <row r="49" spans="1:12">
      <c r="A49" s="79" t="s">
        <v>84</v>
      </c>
      <c r="B49" s="390" t="s">
        <v>183</v>
      </c>
      <c r="C49" s="391"/>
      <c r="D49" s="412"/>
      <c r="E49" s="112">
        <v>11.8</v>
      </c>
      <c r="F49" s="63">
        <f ca="1">Цены!E19</f>
        <v>0.65</v>
      </c>
      <c r="G49" s="113">
        <f t="shared" si="4"/>
        <v>7.6700000000000008</v>
      </c>
      <c r="I49" s="107"/>
      <c r="J49" s="26"/>
      <c r="K49" s="26"/>
    </row>
    <row r="50" spans="1:12">
      <c r="A50" s="45" t="s">
        <v>86</v>
      </c>
      <c r="B50" s="413" t="s">
        <v>184</v>
      </c>
      <c r="C50" s="414"/>
      <c r="D50" s="415"/>
      <c r="E50" s="106">
        <v>0.02</v>
      </c>
      <c r="F50" s="51">
        <f ca="1">Цены!E21</f>
        <v>2100</v>
      </c>
      <c r="G50" s="113">
        <f t="shared" si="4"/>
        <v>42</v>
      </c>
      <c r="I50" s="120"/>
      <c r="J50" s="26"/>
      <c r="K50" s="26"/>
    </row>
    <row r="51" spans="1:12">
      <c r="A51" s="77"/>
      <c r="B51" s="114"/>
      <c r="C51" s="117"/>
      <c r="D51" s="108"/>
      <c r="E51" s="115"/>
      <c r="F51" s="115"/>
      <c r="G51" s="116">
        <f>SUM(G45:G50)</f>
        <v>174.79</v>
      </c>
      <c r="I51" s="26"/>
      <c r="J51" s="26"/>
      <c r="K51" s="26"/>
    </row>
    <row r="53" spans="1:12" ht="13.5" thickBot="1">
      <c r="A53" s="71" t="s">
        <v>200</v>
      </c>
      <c r="B53" s="46"/>
    </row>
    <row r="54" spans="1:12" ht="13.5" thickBot="1">
      <c r="A54" s="15" t="s">
        <v>71</v>
      </c>
      <c r="B54" s="15" t="s">
        <v>103</v>
      </c>
      <c r="C54" s="15" t="s">
        <v>107</v>
      </c>
      <c r="D54" s="15" t="s">
        <v>108</v>
      </c>
      <c r="E54" s="375" t="s">
        <v>111</v>
      </c>
      <c r="F54" s="376"/>
      <c r="G54" s="376"/>
      <c r="H54" s="376"/>
      <c r="I54" s="376"/>
      <c r="J54" s="376"/>
      <c r="K54" s="377"/>
      <c r="L54" s="15" t="s">
        <v>124</v>
      </c>
    </row>
    <row r="55" spans="1:12">
      <c r="A55" s="6" t="s">
        <v>102</v>
      </c>
      <c r="B55" s="6" t="s">
        <v>104</v>
      </c>
      <c r="C55" s="6" t="s">
        <v>104</v>
      </c>
      <c r="D55" s="6" t="s">
        <v>109</v>
      </c>
      <c r="E55" s="15" t="s">
        <v>114</v>
      </c>
      <c r="F55" s="15" t="s">
        <v>112</v>
      </c>
      <c r="G55" s="15" t="s">
        <v>112</v>
      </c>
      <c r="H55" s="15" t="s">
        <v>113</v>
      </c>
      <c r="I55" s="15" t="s">
        <v>116</v>
      </c>
      <c r="J55" s="15" t="s">
        <v>118</v>
      </c>
      <c r="K55" s="15" t="s">
        <v>121</v>
      </c>
      <c r="L55" s="6" t="s">
        <v>125</v>
      </c>
    </row>
    <row r="56" spans="1:12">
      <c r="A56" s="6"/>
      <c r="B56" s="6" t="s">
        <v>105</v>
      </c>
      <c r="C56" s="6" t="s">
        <v>105</v>
      </c>
      <c r="D56" s="6" t="s">
        <v>110</v>
      </c>
      <c r="E56" s="6" t="s">
        <v>115</v>
      </c>
      <c r="F56" s="6"/>
      <c r="G56" s="6" t="s">
        <v>123</v>
      </c>
      <c r="H56" s="6"/>
      <c r="I56" s="6" t="s">
        <v>117</v>
      </c>
      <c r="J56" s="6" t="s">
        <v>119</v>
      </c>
      <c r="K56" s="6" t="s">
        <v>122</v>
      </c>
      <c r="L56" s="6" t="s">
        <v>127</v>
      </c>
    </row>
    <row r="57" spans="1:12" ht="13.5" thickBot="1">
      <c r="A57" s="9"/>
      <c r="B57" s="9" t="s">
        <v>106</v>
      </c>
      <c r="C57" s="9" t="s">
        <v>106</v>
      </c>
      <c r="D57" s="9" t="s">
        <v>192</v>
      </c>
      <c r="E57" s="9"/>
      <c r="F57" s="9"/>
      <c r="G57" s="9"/>
      <c r="H57" s="73">
        <f ca="1">Исх.данные!F51</f>
        <v>0.30199999999999999</v>
      </c>
      <c r="I57" s="73">
        <f ca="1">Исх.данные!F52</f>
        <v>0.89800000000000002</v>
      </c>
      <c r="J57" s="9" t="s">
        <v>120</v>
      </c>
      <c r="K57" s="9" t="s">
        <v>75</v>
      </c>
      <c r="L57" s="9"/>
    </row>
    <row r="58" spans="1:12">
      <c r="A58" t="s">
        <v>16</v>
      </c>
      <c r="B58" s="74">
        <f ca="1">Исх.данные!C8</f>
        <v>2595.5</v>
      </c>
      <c r="C58">
        <f ca="1">Исх.данные!C27</f>
        <v>670</v>
      </c>
      <c r="D58" s="21">
        <f ca="1">M36</f>
        <v>137.5</v>
      </c>
      <c r="E58">
        <f ca="1">Исх.данные!F54</f>
        <v>1.1200000000000001</v>
      </c>
      <c r="F58" s="21">
        <f>C58*D58/1000*M38</f>
        <v>3923.3790006038653</v>
      </c>
      <c r="G58" s="21">
        <f t="shared" ref="G58:G63" si="5">F58*E58</f>
        <v>4394.1844806763293</v>
      </c>
      <c r="H58" s="21">
        <f>G58*H57</f>
        <v>1327.0437131642514</v>
      </c>
      <c r="I58" s="21">
        <f>G58*I57</f>
        <v>3945.9776636473439</v>
      </c>
      <c r="J58" s="21">
        <f>G51*C58/1000</f>
        <v>117.10929999999999</v>
      </c>
      <c r="K58" s="21">
        <f t="shared" ref="K58:K63" si="6">SUM(G58:J58)</f>
        <v>9784.3151574879248</v>
      </c>
      <c r="L58" s="21">
        <f t="shared" ref="L58:L63" si="7">K58/12/B58</f>
        <v>0.31414355478995454</v>
      </c>
    </row>
    <row r="59" spans="1:12">
      <c r="A59" t="s">
        <v>28</v>
      </c>
      <c r="B59" s="74">
        <f ca="1">Исх.данные!D8</f>
        <v>2595.5</v>
      </c>
      <c r="C59">
        <f ca="1">Исх.данные!D27</f>
        <v>670</v>
      </c>
      <c r="D59" s="21">
        <f ca="1">M36</f>
        <v>137.5</v>
      </c>
      <c r="E59">
        <f ca="1">Исх.данные!F54</f>
        <v>1.1200000000000001</v>
      </c>
      <c r="F59" s="21">
        <f>C59*D59/1000*M38</f>
        <v>3923.3790006038653</v>
      </c>
      <c r="G59" s="21">
        <f t="shared" si="5"/>
        <v>4394.1844806763293</v>
      </c>
      <c r="H59" s="21">
        <f>G59*H57</f>
        <v>1327.0437131642514</v>
      </c>
      <c r="I59" s="21">
        <f>G59*I57</f>
        <v>3945.9776636473439</v>
      </c>
      <c r="J59" s="21">
        <f>G51*C59/1000</f>
        <v>117.10929999999999</v>
      </c>
      <c r="K59" s="21">
        <f t="shared" si="6"/>
        <v>9784.3151574879248</v>
      </c>
      <c r="L59" s="21">
        <f t="shared" si="7"/>
        <v>0.31414355478995454</v>
      </c>
    </row>
    <row r="60" spans="1:12">
      <c r="A60" t="s">
        <v>36</v>
      </c>
      <c r="B60" s="74">
        <f ca="1">Исх.данные!E8</f>
        <v>7735.2</v>
      </c>
      <c r="C60">
        <f ca="1">Исх.данные!F27</f>
        <v>1794</v>
      </c>
      <c r="D60" s="21">
        <f ca="1">M36</f>
        <v>137.5</v>
      </c>
      <c r="E60">
        <f ca="1">Исх.данные!F54</f>
        <v>1.1200000000000001</v>
      </c>
      <c r="F60" s="21">
        <f>C60*D60/1000*M38</f>
        <v>10505.286458333336</v>
      </c>
      <c r="G60" s="21">
        <f t="shared" si="5"/>
        <v>11765.920833333337</v>
      </c>
      <c r="H60" s="21">
        <f>G60*H57</f>
        <v>3553.3080916666677</v>
      </c>
      <c r="I60" s="21">
        <f>G60*I57</f>
        <v>10565.796908333337</v>
      </c>
      <c r="J60" s="21">
        <f>G51*C60/1000</f>
        <v>313.57326</v>
      </c>
      <c r="K60" s="21">
        <f t="shared" si="6"/>
        <v>26198.599093333341</v>
      </c>
      <c r="L60" s="21">
        <f t="shared" si="7"/>
        <v>0.2822443622803692</v>
      </c>
    </row>
    <row r="61" spans="1:12">
      <c r="A61" t="s">
        <v>39</v>
      </c>
      <c r="B61" s="74">
        <f ca="1">Исх.данные!F8</f>
        <v>7735.2</v>
      </c>
      <c r="C61">
        <v>1794</v>
      </c>
      <c r="D61" s="21">
        <f ca="1">M36</f>
        <v>137.5</v>
      </c>
      <c r="E61">
        <f ca="1">Исх.данные!F54</f>
        <v>1.1200000000000001</v>
      </c>
      <c r="F61" s="21">
        <f>C61*D61/1000*M38</f>
        <v>10505.286458333336</v>
      </c>
      <c r="G61" s="21">
        <f t="shared" si="5"/>
        <v>11765.920833333337</v>
      </c>
      <c r="H61" s="21">
        <f>G61*H57</f>
        <v>3553.3080916666677</v>
      </c>
      <c r="I61" s="21">
        <f>G61*I57</f>
        <v>10565.796908333337</v>
      </c>
      <c r="J61" s="21">
        <f>G51*C61/1000</f>
        <v>313.57326</v>
      </c>
      <c r="K61" s="21">
        <f t="shared" si="6"/>
        <v>26198.599093333341</v>
      </c>
      <c r="L61" s="21">
        <f t="shared" si="7"/>
        <v>0.2822443622803692</v>
      </c>
    </row>
    <row r="62" spans="1:12">
      <c r="A62" t="s">
        <v>64</v>
      </c>
      <c r="B62" s="74">
        <f ca="1">Исх.данные!G8</f>
        <v>7735.2</v>
      </c>
      <c r="C62">
        <f ca="1">Исх.данные!G27</f>
        <v>1794</v>
      </c>
      <c r="D62" s="21">
        <f ca="1">M36</f>
        <v>137.5</v>
      </c>
      <c r="E62">
        <f ca="1">Исх.данные!F54</f>
        <v>1.1200000000000001</v>
      </c>
      <c r="F62" s="21">
        <f>C62*D62/1000*M38</f>
        <v>10505.286458333336</v>
      </c>
      <c r="G62" s="21">
        <f t="shared" si="5"/>
        <v>11765.920833333337</v>
      </c>
      <c r="H62" s="21">
        <f>G62*H57</f>
        <v>3553.3080916666677</v>
      </c>
      <c r="I62" s="21">
        <f>G62*I57</f>
        <v>10565.796908333337</v>
      </c>
      <c r="J62" s="21">
        <f>G51*C62/1000</f>
        <v>313.57326</v>
      </c>
      <c r="K62" s="21">
        <f t="shared" si="6"/>
        <v>26198.599093333341</v>
      </c>
      <c r="L62" s="21">
        <f t="shared" si="7"/>
        <v>0.2822443622803692</v>
      </c>
    </row>
    <row r="63" spans="1:12">
      <c r="A63" t="s">
        <v>175</v>
      </c>
      <c r="B63" s="74">
        <f ca="1">Исх.данные!L8</f>
        <v>1291.4000000000001</v>
      </c>
      <c r="C63">
        <f ca="1">Исх.данные!L27</f>
        <v>435</v>
      </c>
      <c r="D63" s="21">
        <f ca="1">M36</f>
        <v>137.5</v>
      </c>
      <c r="E63">
        <f ca="1">Исх.данные!F54</f>
        <v>1.1200000000000001</v>
      </c>
      <c r="F63" s="21">
        <f>C63*D63/1000*M38</f>
        <v>2547.2684556159425</v>
      </c>
      <c r="G63" s="21">
        <f t="shared" si="5"/>
        <v>2852.9406702898559</v>
      </c>
      <c r="H63" s="21">
        <f>G63*H57</f>
        <v>861.58808242753651</v>
      </c>
      <c r="I63" s="21">
        <f>G63*I57</f>
        <v>2561.9407219202908</v>
      </c>
      <c r="J63" s="21">
        <f>G51*C63/1000</f>
        <v>76.033649999999994</v>
      </c>
      <c r="K63" s="21">
        <f t="shared" si="6"/>
        <v>6352.503124637683</v>
      </c>
      <c r="L63" s="21">
        <f t="shared" si="7"/>
        <v>0.40992354064308001</v>
      </c>
    </row>
    <row r="65" spans="1:13">
      <c r="A65" s="75" t="s">
        <v>199</v>
      </c>
    </row>
    <row r="66" spans="1:13">
      <c r="A66" t="s">
        <v>177</v>
      </c>
    </row>
    <row r="67" spans="1:13">
      <c r="A67" t="s">
        <v>206</v>
      </c>
      <c r="M67">
        <f>108</f>
        <v>108</v>
      </c>
    </row>
    <row r="68" spans="1:13">
      <c r="A68" t="s">
        <v>553</v>
      </c>
      <c r="M68">
        <v>1.1499999999999999</v>
      </c>
    </row>
    <row r="69" spans="1:13">
      <c r="A69" t="s">
        <v>126</v>
      </c>
      <c r="L69">
        <v>1</v>
      </c>
      <c r="M69" s="74">
        <v>1</v>
      </c>
    </row>
    <row r="70" spans="1:13">
      <c r="A70" t="str">
        <f>A8</f>
        <v>Часовая ставка 1 разряда (руб/час)</v>
      </c>
      <c r="L70" s="21"/>
      <c r="M70" s="21">
        <f ca="1">Исх.данные!F50</f>
        <v>42.587560386473434</v>
      </c>
    </row>
    <row r="71" spans="1:13">
      <c r="M71" s="21"/>
    </row>
    <row r="72" spans="1:13" ht="13.5" thickBot="1">
      <c r="A72" t="s">
        <v>215</v>
      </c>
      <c r="M72" s="21"/>
    </row>
    <row r="73" spans="1:13">
      <c r="B73" s="95" t="s">
        <v>135</v>
      </c>
      <c r="C73" s="118"/>
      <c r="D73" s="96"/>
      <c r="E73" s="103" t="s">
        <v>187</v>
      </c>
      <c r="F73" s="91" t="s">
        <v>88</v>
      </c>
      <c r="G73" s="91" t="s">
        <v>189</v>
      </c>
      <c r="I73" s="85"/>
      <c r="J73" s="85"/>
      <c r="K73" s="83"/>
      <c r="M73" s="21"/>
    </row>
    <row r="74" spans="1:13">
      <c r="B74" s="97" t="s">
        <v>74</v>
      </c>
      <c r="C74" s="83"/>
      <c r="D74" s="98"/>
      <c r="E74" s="93" t="s">
        <v>188</v>
      </c>
      <c r="F74" s="94" t="s">
        <v>89</v>
      </c>
      <c r="G74" s="94" t="s">
        <v>208</v>
      </c>
      <c r="I74" s="83"/>
      <c r="J74" s="83"/>
      <c r="K74" s="83"/>
      <c r="M74" s="21"/>
    </row>
    <row r="75" spans="1:13">
      <c r="B75" s="97"/>
      <c r="C75" s="83"/>
      <c r="D75" s="98"/>
      <c r="E75" s="94" t="s">
        <v>153</v>
      </c>
      <c r="F75" s="94"/>
      <c r="G75" s="6" t="s">
        <v>197</v>
      </c>
      <c r="I75" s="85"/>
      <c r="J75" s="83"/>
      <c r="K75" s="82"/>
      <c r="M75" s="21"/>
    </row>
    <row r="76" spans="1:13" ht="13.5" thickBot="1">
      <c r="B76" s="104"/>
      <c r="C76" s="119"/>
      <c r="D76" s="105"/>
      <c r="E76" s="92" t="s">
        <v>207</v>
      </c>
      <c r="F76" s="92"/>
      <c r="G76" s="9" t="s">
        <v>198</v>
      </c>
      <c r="I76" s="82"/>
      <c r="J76" s="83"/>
      <c r="K76" s="82"/>
      <c r="M76" s="21"/>
    </row>
    <row r="77" spans="1:13">
      <c r="A77" s="45" t="s">
        <v>77</v>
      </c>
      <c r="B77" s="406" t="s">
        <v>201</v>
      </c>
      <c r="C77" s="407"/>
      <c r="D77" s="408"/>
      <c r="E77" s="106">
        <v>0.03</v>
      </c>
      <c r="F77" s="51">
        <f ca="1">Цены!E22</f>
        <v>950</v>
      </c>
      <c r="G77" s="113">
        <f t="shared" ref="G77:G82" si="8">E77*F77</f>
        <v>28.5</v>
      </c>
      <c r="I77" s="107"/>
      <c r="J77" s="26"/>
      <c r="K77" s="26"/>
    </row>
    <row r="78" spans="1:13">
      <c r="A78" s="45" t="s">
        <v>79</v>
      </c>
      <c r="B78" s="409" t="s">
        <v>202</v>
      </c>
      <c r="C78" s="410"/>
      <c r="D78" s="411"/>
      <c r="E78" s="106">
        <v>0.02</v>
      </c>
      <c r="F78" s="51">
        <f ca="1">Цены!E23</f>
        <v>245</v>
      </c>
      <c r="G78" s="113">
        <f t="shared" si="8"/>
        <v>4.9000000000000004</v>
      </c>
      <c r="I78" s="107"/>
      <c r="J78" s="26"/>
      <c r="K78" s="26"/>
    </row>
    <row r="79" spans="1:13">
      <c r="A79" s="45" t="s">
        <v>133</v>
      </c>
      <c r="B79" s="409" t="s">
        <v>203</v>
      </c>
      <c r="C79" s="410"/>
      <c r="D79" s="411"/>
      <c r="E79" s="106">
        <v>0.03</v>
      </c>
      <c r="F79" s="51">
        <f ca="1">Цены!E17</f>
        <v>220</v>
      </c>
      <c r="G79" s="113">
        <f t="shared" si="8"/>
        <v>6.6</v>
      </c>
      <c r="I79" s="107"/>
      <c r="J79" s="26"/>
      <c r="K79" s="26"/>
    </row>
    <row r="80" spans="1:13">
      <c r="A80" s="45" t="s">
        <v>82</v>
      </c>
      <c r="B80" s="409" t="s">
        <v>204</v>
      </c>
      <c r="C80" s="410"/>
      <c r="D80" s="411"/>
      <c r="E80" s="106">
        <v>2.23</v>
      </c>
      <c r="F80" s="51">
        <f ca="1">Цены!E18</f>
        <v>67</v>
      </c>
      <c r="G80" s="113">
        <f t="shared" si="8"/>
        <v>149.41</v>
      </c>
      <c r="I80" s="107"/>
      <c r="J80" s="26"/>
      <c r="K80" s="26"/>
    </row>
    <row r="81" spans="1:12">
      <c r="A81" s="79" t="s">
        <v>84</v>
      </c>
      <c r="B81" s="390" t="s">
        <v>205</v>
      </c>
      <c r="C81" s="391"/>
      <c r="D81" s="412"/>
      <c r="E81" s="112">
        <v>0.03</v>
      </c>
      <c r="F81" s="51">
        <f ca="1">Цены!E24</f>
        <v>1480</v>
      </c>
      <c r="G81" s="113">
        <f t="shared" si="8"/>
        <v>44.4</v>
      </c>
      <c r="I81" s="107"/>
      <c r="J81" s="26"/>
      <c r="K81" s="26"/>
    </row>
    <row r="82" spans="1:12">
      <c r="A82" s="45" t="s">
        <v>86</v>
      </c>
      <c r="B82" s="413" t="s">
        <v>184</v>
      </c>
      <c r="C82" s="414"/>
      <c r="D82" s="415"/>
      <c r="E82" s="106">
        <v>0.02</v>
      </c>
      <c r="F82" s="51">
        <f ca="1">Цены!E21</f>
        <v>2100</v>
      </c>
      <c r="G82" s="113">
        <f t="shared" si="8"/>
        <v>42</v>
      </c>
      <c r="I82" s="120"/>
      <c r="J82" s="26"/>
      <c r="K82" s="26"/>
    </row>
    <row r="83" spans="1:12">
      <c r="A83" s="77"/>
      <c r="B83" s="114"/>
      <c r="C83" s="117"/>
      <c r="D83" s="108"/>
      <c r="E83" s="115"/>
      <c r="F83" s="115"/>
      <c r="G83" s="116">
        <f>SUM(G77:G82)</f>
        <v>275.81</v>
      </c>
      <c r="I83" s="26"/>
      <c r="J83" s="26"/>
      <c r="K83" s="26"/>
    </row>
    <row r="85" spans="1:12" ht="13.5" thickBot="1">
      <c r="A85" s="71" t="s">
        <v>210</v>
      </c>
      <c r="B85" s="46"/>
    </row>
    <row r="86" spans="1:12" ht="13.5" thickBot="1">
      <c r="A86" s="15" t="s">
        <v>71</v>
      </c>
      <c r="B86" s="15" t="s">
        <v>103</v>
      </c>
      <c r="C86" s="15" t="s">
        <v>107</v>
      </c>
      <c r="D86" s="15" t="s">
        <v>108</v>
      </c>
      <c r="E86" s="375" t="s">
        <v>111</v>
      </c>
      <c r="F86" s="376"/>
      <c r="G86" s="376"/>
      <c r="H86" s="376"/>
      <c r="I86" s="376"/>
      <c r="J86" s="376"/>
      <c r="K86" s="377"/>
      <c r="L86" s="15" t="s">
        <v>124</v>
      </c>
    </row>
    <row r="87" spans="1:12">
      <c r="A87" s="6" t="s">
        <v>102</v>
      </c>
      <c r="B87" s="6" t="s">
        <v>104</v>
      </c>
      <c r="C87" s="6" t="s">
        <v>104</v>
      </c>
      <c r="D87" s="6" t="s">
        <v>109</v>
      </c>
      <c r="E87" s="15" t="s">
        <v>114</v>
      </c>
      <c r="F87" s="15" t="s">
        <v>112</v>
      </c>
      <c r="G87" s="15" t="s">
        <v>112</v>
      </c>
      <c r="H87" s="15" t="s">
        <v>113</v>
      </c>
      <c r="I87" s="15" t="s">
        <v>116</v>
      </c>
      <c r="J87" s="15" t="s">
        <v>118</v>
      </c>
      <c r="K87" s="15" t="s">
        <v>121</v>
      </c>
      <c r="L87" s="6" t="s">
        <v>125</v>
      </c>
    </row>
    <row r="88" spans="1:12">
      <c r="A88" s="6"/>
      <c r="B88" s="6" t="s">
        <v>105</v>
      </c>
      <c r="C88" s="6" t="s">
        <v>105</v>
      </c>
      <c r="D88" s="6" t="s">
        <v>110</v>
      </c>
      <c r="E88" s="6" t="s">
        <v>115</v>
      </c>
      <c r="F88" s="6"/>
      <c r="G88" s="6" t="s">
        <v>123</v>
      </c>
      <c r="H88" s="6"/>
      <c r="I88" s="6" t="s">
        <v>117</v>
      </c>
      <c r="J88" s="6" t="s">
        <v>119</v>
      </c>
      <c r="K88" s="6" t="s">
        <v>122</v>
      </c>
      <c r="L88" s="6" t="s">
        <v>127</v>
      </c>
    </row>
    <row r="89" spans="1:12" ht="13.5" thickBot="1">
      <c r="A89" s="9"/>
      <c r="B89" s="9" t="s">
        <v>106</v>
      </c>
      <c r="C89" s="9" t="s">
        <v>106</v>
      </c>
      <c r="D89" s="9" t="s">
        <v>209</v>
      </c>
      <c r="E89" s="9"/>
      <c r="F89" s="9"/>
      <c r="G89" s="9"/>
      <c r="H89" s="73">
        <f ca="1">Исх.данные!F51</f>
        <v>0.30199999999999999</v>
      </c>
      <c r="I89" s="73">
        <f ca="1">Исх.данные!F52</f>
        <v>0.89800000000000002</v>
      </c>
      <c r="J89" s="9" t="s">
        <v>120</v>
      </c>
      <c r="K89" s="9" t="s">
        <v>75</v>
      </c>
      <c r="L89" s="9"/>
    </row>
    <row r="90" spans="1:12">
      <c r="A90" t="s">
        <v>16</v>
      </c>
      <c r="B90" s="74">
        <f ca="1">Исх.данные!C8</f>
        <v>2595.5</v>
      </c>
      <c r="C90">
        <f ca="1">Исх.данные!C27</f>
        <v>670</v>
      </c>
      <c r="D90" s="21">
        <f ca="1">M67*M68</f>
        <v>124.19999999999999</v>
      </c>
      <c r="E90">
        <f ca="1">Исх.данные!F54</f>
        <v>1.1200000000000001</v>
      </c>
      <c r="F90" s="21">
        <f>C90*D90/10000*M70</f>
        <v>354.388125</v>
      </c>
      <c r="G90" s="21">
        <f t="shared" ref="G90:G95" si="9">F90*E90</f>
        <v>396.91470000000004</v>
      </c>
      <c r="H90" s="21">
        <f>G90*H89</f>
        <v>119.86823940000001</v>
      </c>
      <c r="I90" s="21">
        <f>G90*I89</f>
        <v>356.42940060000006</v>
      </c>
      <c r="J90" s="21">
        <f>G83*C90/10000</f>
        <v>18.47927</v>
      </c>
      <c r="K90" s="21">
        <f t="shared" ref="K90:K95" si="10">SUM(G90:J90)</f>
        <v>891.69161000000008</v>
      </c>
      <c r="L90" s="21">
        <f t="shared" ref="L90:L95" si="11">K90/12/B90</f>
        <v>2.8629410197136072E-2</v>
      </c>
    </row>
    <row r="91" spans="1:12">
      <c r="A91" t="s">
        <v>28</v>
      </c>
      <c r="B91" s="74">
        <f ca="1">Исх.данные!D8</f>
        <v>2595.5</v>
      </c>
      <c r="C91">
        <f ca="1">Исх.данные!D27</f>
        <v>670</v>
      </c>
      <c r="D91" s="21">
        <f ca="1">M67*M68</f>
        <v>124.19999999999999</v>
      </c>
      <c r="E91">
        <f ca="1">Исх.данные!F54</f>
        <v>1.1200000000000001</v>
      </c>
      <c r="F91" s="21">
        <f>C91*D91/10000*M70</f>
        <v>354.388125</v>
      </c>
      <c r="G91" s="21">
        <f t="shared" si="9"/>
        <v>396.91470000000004</v>
      </c>
      <c r="H91" s="21">
        <f>G91*H89</f>
        <v>119.86823940000001</v>
      </c>
      <c r="I91" s="21">
        <f>G91*I89</f>
        <v>356.42940060000006</v>
      </c>
      <c r="J91" s="21">
        <f>G83*C91/10000</f>
        <v>18.47927</v>
      </c>
      <c r="K91" s="21">
        <f t="shared" si="10"/>
        <v>891.69161000000008</v>
      </c>
      <c r="L91" s="21">
        <f t="shared" si="11"/>
        <v>2.8629410197136072E-2</v>
      </c>
    </row>
    <row r="92" spans="1:12">
      <c r="A92" t="s">
        <v>36</v>
      </c>
      <c r="B92" s="74">
        <f ca="1">Исх.данные!E8</f>
        <v>7735.2</v>
      </c>
      <c r="C92">
        <f ca="1">Исх.данные!E27</f>
        <v>1794</v>
      </c>
      <c r="D92" s="21">
        <f ca="1">M67*M68</f>
        <v>124.19999999999999</v>
      </c>
      <c r="E92">
        <f ca="1">Исх.данные!F54</f>
        <v>1.1200000000000001</v>
      </c>
      <c r="F92" s="21">
        <f>C92*D92/10000*M70</f>
        <v>948.91387500000008</v>
      </c>
      <c r="G92" s="21">
        <f t="shared" si="9"/>
        <v>1062.7835400000001</v>
      </c>
      <c r="H92" s="21">
        <f>G92*H89</f>
        <v>320.96062908000005</v>
      </c>
      <c r="I92" s="21">
        <f>G92*I89</f>
        <v>954.3796189200001</v>
      </c>
      <c r="J92" s="21">
        <f>G83*C92/10000</f>
        <v>49.480314</v>
      </c>
      <c r="K92" s="21">
        <f t="shared" si="10"/>
        <v>2387.6041020000002</v>
      </c>
      <c r="L92" s="21">
        <f t="shared" si="11"/>
        <v>2.572228365136002E-2</v>
      </c>
    </row>
    <row r="93" spans="1:12">
      <c r="A93" t="s">
        <v>39</v>
      </c>
      <c r="B93" s="74">
        <f ca="1">Исх.данные!F8</f>
        <v>7735.2</v>
      </c>
      <c r="C93">
        <f ca="1">Исх.данные!F27</f>
        <v>1794</v>
      </c>
      <c r="D93" s="21">
        <f ca="1">M67*M68</f>
        <v>124.19999999999999</v>
      </c>
      <c r="E93">
        <f ca="1">Исх.данные!F54</f>
        <v>1.1200000000000001</v>
      </c>
      <c r="F93" s="21">
        <f>C93*D93/10000*M70</f>
        <v>948.91387500000008</v>
      </c>
      <c r="G93" s="21">
        <f t="shared" si="9"/>
        <v>1062.7835400000001</v>
      </c>
      <c r="H93" s="21">
        <f>G93*H89</f>
        <v>320.96062908000005</v>
      </c>
      <c r="I93" s="21">
        <f>G93*I89</f>
        <v>954.3796189200001</v>
      </c>
      <c r="J93" s="21">
        <f>G83*C93/10000</f>
        <v>49.480314</v>
      </c>
      <c r="K93" s="21">
        <f t="shared" si="10"/>
        <v>2387.6041020000002</v>
      </c>
      <c r="L93" s="21">
        <f t="shared" si="11"/>
        <v>2.572228365136002E-2</v>
      </c>
    </row>
    <row r="94" spans="1:12">
      <c r="A94" t="s">
        <v>64</v>
      </c>
      <c r="B94" s="74">
        <f ca="1">Исх.данные!G8</f>
        <v>7735.2</v>
      </c>
      <c r="C94">
        <f ca="1">Исх.данные!G27</f>
        <v>1794</v>
      </c>
      <c r="D94" s="21">
        <f ca="1">M67*M68</f>
        <v>124.19999999999999</v>
      </c>
      <c r="E94">
        <f ca="1">Исх.данные!F54</f>
        <v>1.1200000000000001</v>
      </c>
      <c r="F94" s="21">
        <f>C94*D94/10000*M70</f>
        <v>948.91387500000008</v>
      </c>
      <c r="G94" s="21">
        <f t="shared" si="9"/>
        <v>1062.7835400000001</v>
      </c>
      <c r="H94" s="21">
        <f>G94*H89</f>
        <v>320.96062908000005</v>
      </c>
      <c r="I94" s="21">
        <f>G94*I89</f>
        <v>954.3796189200001</v>
      </c>
      <c r="J94" s="21">
        <f>G83*C94/10000</f>
        <v>49.480314</v>
      </c>
      <c r="K94" s="21">
        <f t="shared" si="10"/>
        <v>2387.6041020000002</v>
      </c>
      <c r="L94" s="21">
        <f t="shared" si="11"/>
        <v>2.572228365136002E-2</v>
      </c>
    </row>
    <row r="95" spans="1:12">
      <c r="A95" t="s">
        <v>175</v>
      </c>
      <c r="B95" s="74">
        <f ca="1">Исх.данные!L8</f>
        <v>1291.4000000000001</v>
      </c>
      <c r="C95">
        <f ca="1">Исх.данные!L27</f>
        <v>435</v>
      </c>
      <c r="D95" s="21">
        <f ca="1">M67*M68</f>
        <v>124.19999999999999</v>
      </c>
      <c r="E95">
        <f ca="1">Исх.данные!F54</f>
        <v>1.1200000000000001</v>
      </c>
      <c r="F95" s="21">
        <f>C95*D95/10000*M70</f>
        <v>230.08781250000001</v>
      </c>
      <c r="G95" s="21">
        <f t="shared" si="9"/>
        <v>257.69835000000006</v>
      </c>
      <c r="H95" s="21">
        <f>G95*H89</f>
        <v>77.824901700000012</v>
      </c>
      <c r="I95" s="21">
        <f>G95*I89</f>
        <v>231.41311830000006</v>
      </c>
      <c r="J95" s="21">
        <f>G83*C95/10000</f>
        <v>11.997735</v>
      </c>
      <c r="K95" s="21">
        <f t="shared" si="10"/>
        <v>578.93410500000016</v>
      </c>
      <c r="L95" s="21">
        <f t="shared" si="11"/>
        <v>3.7358300100665952E-2</v>
      </c>
    </row>
    <row r="97" spans="1:13">
      <c r="A97" s="75" t="s">
        <v>211</v>
      </c>
    </row>
    <row r="98" spans="1:13">
      <c r="A98" t="s">
        <v>177</v>
      </c>
    </row>
    <row r="99" spans="1:13">
      <c r="A99" t="s">
        <v>212</v>
      </c>
      <c r="M99">
        <f>325</f>
        <v>325</v>
      </c>
    </row>
    <row r="100" spans="1:13">
      <c r="A100" t="s">
        <v>554</v>
      </c>
      <c r="E100" s="199">
        <v>0.5</v>
      </c>
      <c r="G100" t="s">
        <v>598</v>
      </c>
      <c r="M100" s="199">
        <v>1.26</v>
      </c>
    </row>
    <row r="101" spans="1:13">
      <c r="A101" t="s">
        <v>126</v>
      </c>
      <c r="L101">
        <v>1</v>
      </c>
      <c r="M101" s="74">
        <v>1</v>
      </c>
    </row>
    <row r="102" spans="1:13">
      <c r="A102" t="str">
        <f>A8</f>
        <v>Часовая ставка 1 разряда (руб/час)</v>
      </c>
      <c r="L102" s="21"/>
      <c r="M102" s="21">
        <f ca="1">Исх.данные!F50</f>
        <v>42.587560386473434</v>
      </c>
    </row>
    <row r="103" spans="1:13">
      <c r="M103" s="21"/>
    </row>
    <row r="104" spans="1:13" ht="13.5" thickBot="1">
      <c r="A104" t="s">
        <v>216</v>
      </c>
      <c r="M104" s="21"/>
    </row>
    <row r="105" spans="1:13">
      <c r="B105" s="95" t="s">
        <v>135</v>
      </c>
      <c r="C105" s="118"/>
      <c r="D105" s="96"/>
      <c r="E105" s="103" t="s">
        <v>187</v>
      </c>
      <c r="F105" s="91" t="s">
        <v>88</v>
      </c>
      <c r="G105" s="91" t="s">
        <v>189</v>
      </c>
      <c r="I105" s="85"/>
      <c r="J105" s="85"/>
      <c r="K105" s="83"/>
      <c r="M105" s="21"/>
    </row>
    <row r="106" spans="1:13">
      <c r="B106" s="97" t="s">
        <v>74</v>
      </c>
      <c r="C106" s="83"/>
      <c r="D106" s="98"/>
      <c r="E106" s="93" t="s">
        <v>188</v>
      </c>
      <c r="F106" s="94" t="s">
        <v>89</v>
      </c>
      <c r="G106" s="94" t="s">
        <v>208</v>
      </c>
      <c r="I106" s="83"/>
      <c r="J106" s="83"/>
      <c r="K106" s="83"/>
      <c r="M106" s="21"/>
    </row>
    <row r="107" spans="1:13">
      <c r="B107" s="97"/>
      <c r="C107" s="83"/>
      <c r="D107" s="98"/>
      <c r="E107" s="94" t="s">
        <v>153</v>
      </c>
      <c r="F107" s="94"/>
      <c r="G107" s="6" t="s">
        <v>197</v>
      </c>
      <c r="I107" s="85"/>
      <c r="J107" s="83"/>
      <c r="K107" s="82"/>
      <c r="M107" s="21"/>
    </row>
    <row r="108" spans="1:13" ht="13.5" thickBot="1">
      <c r="B108" s="104"/>
      <c r="C108" s="119"/>
      <c r="D108" s="105"/>
      <c r="E108" s="92" t="s">
        <v>154</v>
      </c>
      <c r="F108" s="92"/>
      <c r="G108" s="9" t="s">
        <v>198</v>
      </c>
      <c r="I108" s="82"/>
      <c r="J108" s="83"/>
      <c r="K108" s="82"/>
      <c r="M108" s="21"/>
    </row>
    <row r="109" spans="1:13">
      <c r="A109" s="45" t="s">
        <v>77</v>
      </c>
      <c r="B109" s="406" t="s">
        <v>201</v>
      </c>
      <c r="C109" s="407"/>
      <c r="D109" s="408"/>
      <c r="E109" s="106">
        <v>0.16</v>
      </c>
      <c r="F109" s="51">
        <f t="shared" ref="F109:F114" si="12">F77</f>
        <v>950</v>
      </c>
      <c r="G109" s="113">
        <f t="shared" ref="G109:G114" si="13">E109*F109/10</f>
        <v>15.2</v>
      </c>
      <c r="I109" s="107"/>
      <c r="J109" s="26"/>
      <c r="K109" s="26"/>
    </row>
    <row r="110" spans="1:13">
      <c r="A110" s="45" t="s">
        <v>79</v>
      </c>
      <c r="B110" s="409" t="s">
        <v>202</v>
      </c>
      <c r="C110" s="410"/>
      <c r="D110" s="411"/>
      <c r="E110" s="106">
        <v>0.08</v>
      </c>
      <c r="F110" s="51">
        <f t="shared" si="12"/>
        <v>245</v>
      </c>
      <c r="G110" s="113">
        <f t="shared" si="13"/>
        <v>1.9600000000000002</v>
      </c>
      <c r="I110" s="107"/>
      <c r="J110" s="26"/>
      <c r="K110" s="26"/>
    </row>
    <row r="111" spans="1:13">
      <c r="A111" s="45" t="s">
        <v>133</v>
      </c>
      <c r="B111" s="409" t="s">
        <v>203</v>
      </c>
      <c r="C111" s="410"/>
      <c r="D111" s="411"/>
      <c r="E111" s="106">
        <v>0.16</v>
      </c>
      <c r="F111" s="51">
        <f t="shared" si="12"/>
        <v>220</v>
      </c>
      <c r="G111" s="113">
        <f t="shared" si="13"/>
        <v>3.5200000000000005</v>
      </c>
      <c r="I111" s="107"/>
      <c r="J111" s="26"/>
      <c r="K111" s="26"/>
    </row>
    <row r="112" spans="1:13">
      <c r="A112" s="45" t="s">
        <v>82</v>
      </c>
      <c r="B112" s="409" t="s">
        <v>204</v>
      </c>
      <c r="C112" s="410"/>
      <c r="D112" s="411"/>
      <c r="E112" s="106">
        <v>11.48</v>
      </c>
      <c r="F112" s="51">
        <f t="shared" si="12"/>
        <v>67</v>
      </c>
      <c r="G112" s="113">
        <f t="shared" si="13"/>
        <v>76.916000000000011</v>
      </c>
      <c r="I112" s="107"/>
      <c r="J112" s="26"/>
      <c r="K112" s="26"/>
    </row>
    <row r="113" spans="1:12">
      <c r="A113" s="79" t="s">
        <v>84</v>
      </c>
      <c r="B113" s="390" t="s">
        <v>205</v>
      </c>
      <c r="C113" s="391"/>
      <c r="D113" s="412"/>
      <c r="E113" s="112">
        <v>0.16</v>
      </c>
      <c r="F113" s="51">
        <f t="shared" si="12"/>
        <v>1480</v>
      </c>
      <c r="G113" s="113">
        <f t="shared" si="13"/>
        <v>23.68</v>
      </c>
      <c r="I113" s="107"/>
      <c r="J113" s="26"/>
      <c r="K113" s="26"/>
    </row>
    <row r="114" spans="1:12">
      <c r="A114" s="45" t="s">
        <v>86</v>
      </c>
      <c r="B114" s="413" t="s">
        <v>184</v>
      </c>
      <c r="C114" s="414"/>
      <c r="D114" s="415"/>
      <c r="E114" s="106">
        <v>0.08</v>
      </c>
      <c r="F114" s="51">
        <f t="shared" si="12"/>
        <v>2100</v>
      </c>
      <c r="G114" s="113">
        <f t="shared" si="13"/>
        <v>16.8</v>
      </c>
      <c r="I114" s="120"/>
      <c r="J114" s="26"/>
      <c r="K114" s="26"/>
    </row>
    <row r="115" spans="1:12">
      <c r="A115" s="77"/>
      <c r="B115" s="114"/>
      <c r="C115" s="117"/>
      <c r="D115" s="108"/>
      <c r="E115" s="115"/>
      <c r="F115" s="115"/>
      <c r="G115" s="116">
        <f>SUM(G109:G114)</f>
        <v>138.07600000000002</v>
      </c>
      <c r="I115" s="26"/>
      <c r="J115" s="26"/>
      <c r="K115" s="26"/>
    </row>
    <row r="117" spans="1:12" ht="13.5" thickBot="1">
      <c r="A117" s="71" t="s">
        <v>213</v>
      </c>
      <c r="B117" s="46"/>
    </row>
    <row r="118" spans="1:12" ht="13.5" thickBot="1">
      <c r="A118" s="15" t="s">
        <v>71</v>
      </c>
      <c r="B118" s="15" t="s">
        <v>103</v>
      </c>
      <c r="C118" s="15" t="s">
        <v>107</v>
      </c>
      <c r="D118" s="15" t="s">
        <v>108</v>
      </c>
      <c r="E118" s="375" t="s">
        <v>111</v>
      </c>
      <c r="F118" s="376"/>
      <c r="G118" s="376"/>
      <c r="H118" s="376"/>
      <c r="I118" s="376"/>
      <c r="J118" s="376"/>
      <c r="K118" s="377"/>
      <c r="L118" s="15" t="s">
        <v>124</v>
      </c>
    </row>
    <row r="119" spans="1:12">
      <c r="A119" s="6" t="s">
        <v>102</v>
      </c>
      <c r="B119" s="6" t="s">
        <v>104</v>
      </c>
      <c r="C119" s="6" t="s">
        <v>104</v>
      </c>
      <c r="D119" s="6" t="s">
        <v>109</v>
      </c>
      <c r="E119" s="15" t="s">
        <v>114</v>
      </c>
      <c r="F119" s="15" t="s">
        <v>112</v>
      </c>
      <c r="G119" s="15" t="s">
        <v>112</v>
      </c>
      <c r="H119" s="15" t="s">
        <v>113</v>
      </c>
      <c r="I119" s="15" t="s">
        <v>116</v>
      </c>
      <c r="J119" s="15" t="s">
        <v>118</v>
      </c>
      <c r="K119" s="15" t="s">
        <v>121</v>
      </c>
      <c r="L119" s="6" t="s">
        <v>125</v>
      </c>
    </row>
    <row r="120" spans="1:12">
      <c r="A120" s="6"/>
      <c r="B120" s="6" t="s">
        <v>105</v>
      </c>
      <c r="C120" s="6" t="s">
        <v>105</v>
      </c>
      <c r="D120" s="6" t="s">
        <v>110</v>
      </c>
      <c r="E120" s="6" t="s">
        <v>115</v>
      </c>
      <c r="F120" s="6"/>
      <c r="G120" s="6" t="s">
        <v>123</v>
      </c>
      <c r="H120" s="6"/>
      <c r="I120" s="6" t="s">
        <v>117</v>
      </c>
      <c r="J120" s="6" t="s">
        <v>119</v>
      </c>
      <c r="K120" s="6" t="s">
        <v>122</v>
      </c>
      <c r="L120" s="6" t="s">
        <v>127</v>
      </c>
    </row>
    <row r="121" spans="1:12" ht="13.5" thickBot="1">
      <c r="A121" s="9"/>
      <c r="B121" s="9" t="s">
        <v>106</v>
      </c>
      <c r="C121" s="9" t="s">
        <v>106</v>
      </c>
      <c r="D121" s="9" t="s">
        <v>192</v>
      </c>
      <c r="E121" s="9"/>
      <c r="F121" s="9"/>
      <c r="G121" s="9"/>
      <c r="H121" s="73">
        <f ca="1">Исх.данные!F51</f>
        <v>0.30199999999999999</v>
      </c>
      <c r="I121" s="73">
        <f ca="1">Исх.данные!F52</f>
        <v>0.89800000000000002</v>
      </c>
      <c r="J121" s="9" t="s">
        <v>120</v>
      </c>
      <c r="K121" s="9" t="s">
        <v>75</v>
      </c>
      <c r="L121" s="9"/>
    </row>
    <row r="122" spans="1:12">
      <c r="A122" t="s">
        <v>16</v>
      </c>
      <c r="B122" s="74">
        <f ca="1">Исх.данные!C8</f>
        <v>2595.5</v>
      </c>
      <c r="C122">
        <f ca="1">Исх.данные!C27</f>
        <v>670</v>
      </c>
      <c r="D122" s="21">
        <f ca="1">M99*E100*M100</f>
        <v>204.75</v>
      </c>
      <c r="E122">
        <f ca="1">Исх.данные!F54</f>
        <v>1.1200000000000001</v>
      </c>
      <c r="F122" s="21">
        <f>C122*D122/1000*M102</f>
        <v>5842.2680027173919</v>
      </c>
      <c r="G122" s="21">
        <f t="shared" ref="G122:G127" si="14">F122*E122</f>
        <v>6543.3401630434792</v>
      </c>
      <c r="H122" s="21">
        <f>G122*H121</f>
        <v>1976.0887292391305</v>
      </c>
      <c r="I122" s="21">
        <f>G122*I121</f>
        <v>5875.9194664130446</v>
      </c>
      <c r="J122" s="21">
        <f>G115*C122/10000</f>
        <v>9.2510920000000016</v>
      </c>
      <c r="K122" s="21">
        <f t="shared" ref="K122:K127" si="15">SUM(G122:J122)</f>
        <v>14404.599450695654</v>
      </c>
      <c r="L122" s="21">
        <f t="shared" ref="L122:L127" si="16">K122/12/B122</f>
        <v>0.46248633695163599</v>
      </c>
    </row>
    <row r="123" spans="1:12">
      <c r="A123" t="s">
        <v>28</v>
      </c>
      <c r="B123" s="74">
        <f ca="1">Исх.данные!D8</f>
        <v>2595.5</v>
      </c>
      <c r="C123">
        <f ca="1">Исх.данные!D27</f>
        <v>670</v>
      </c>
      <c r="D123" s="21">
        <f ca="1">M99*E100*M100</f>
        <v>204.75</v>
      </c>
      <c r="E123">
        <f ca="1">Исх.данные!F54</f>
        <v>1.1200000000000001</v>
      </c>
      <c r="F123" s="21">
        <f>C123*D123/1000*M102</f>
        <v>5842.2680027173919</v>
      </c>
      <c r="G123" s="21">
        <f t="shared" si="14"/>
        <v>6543.3401630434792</v>
      </c>
      <c r="H123" s="21">
        <f>G123*H121</f>
        <v>1976.0887292391305</v>
      </c>
      <c r="I123" s="21">
        <f>G123*I121</f>
        <v>5875.9194664130446</v>
      </c>
      <c r="J123" s="21">
        <f>G115*C123/10000</f>
        <v>9.2510920000000016</v>
      </c>
      <c r="K123" s="21">
        <f t="shared" si="15"/>
        <v>14404.599450695654</v>
      </c>
      <c r="L123" s="21">
        <f t="shared" si="16"/>
        <v>0.46248633695163599</v>
      </c>
    </row>
    <row r="124" spans="1:12">
      <c r="A124" t="s">
        <v>36</v>
      </c>
      <c r="B124" s="74">
        <f ca="1">Исх.данные!E8</f>
        <v>7735.2</v>
      </c>
      <c r="C124">
        <f ca="1">Исх.данные!E27</f>
        <v>1794</v>
      </c>
      <c r="D124" s="21">
        <f ca="1">M99*E100*M100</f>
        <v>204.75</v>
      </c>
      <c r="E124">
        <f ca="1">Исх.данные!F54</f>
        <v>1.1200000000000001</v>
      </c>
      <c r="F124" s="21">
        <f>C124*D124/1000*M102</f>
        <v>15643.326562500002</v>
      </c>
      <c r="G124" s="21">
        <f t="shared" si="14"/>
        <v>17520.525750000004</v>
      </c>
      <c r="H124" s="21">
        <f>G124*H121</f>
        <v>5291.1987765000013</v>
      </c>
      <c r="I124" s="21">
        <f>G124*I121</f>
        <v>15733.432123500004</v>
      </c>
      <c r="J124" s="21">
        <f>G115*C124/10000</f>
        <v>24.770834400000005</v>
      </c>
      <c r="K124" s="21">
        <f t="shared" si="15"/>
        <v>38569.92748440001</v>
      </c>
      <c r="L124" s="21">
        <f t="shared" si="16"/>
        <v>0.41552391970472657</v>
      </c>
    </row>
    <row r="125" spans="1:12">
      <c r="A125" t="s">
        <v>39</v>
      </c>
      <c r="B125" s="74">
        <f ca="1">Исх.данные!F8</f>
        <v>7735.2</v>
      </c>
      <c r="C125">
        <f ca="1">Исх.данные!F27</f>
        <v>1794</v>
      </c>
      <c r="D125" s="21">
        <f ca="1">M99*E100*M100</f>
        <v>204.75</v>
      </c>
      <c r="E125">
        <f ca="1">Исх.данные!F54</f>
        <v>1.1200000000000001</v>
      </c>
      <c r="F125" s="21">
        <f>C125*D125/1000*M102</f>
        <v>15643.326562500002</v>
      </c>
      <c r="G125" s="21">
        <f t="shared" si="14"/>
        <v>17520.525750000004</v>
      </c>
      <c r="H125" s="21">
        <f>G125*H121</f>
        <v>5291.1987765000013</v>
      </c>
      <c r="I125" s="21">
        <f>G125*I121</f>
        <v>15733.432123500004</v>
      </c>
      <c r="J125" s="21">
        <f>G115*C125/10000</f>
        <v>24.770834400000005</v>
      </c>
      <c r="K125" s="21">
        <f t="shared" si="15"/>
        <v>38569.92748440001</v>
      </c>
      <c r="L125" s="21">
        <f t="shared" si="16"/>
        <v>0.41552391970472657</v>
      </c>
    </row>
    <row r="126" spans="1:12">
      <c r="A126" t="s">
        <v>64</v>
      </c>
      <c r="B126" s="74">
        <f ca="1">Исх.данные!G8</f>
        <v>7735.2</v>
      </c>
      <c r="C126">
        <f ca="1">Исх.данные!G27</f>
        <v>1794</v>
      </c>
      <c r="D126" s="21">
        <f ca="1">M99*E100*M100</f>
        <v>204.75</v>
      </c>
      <c r="E126">
        <f ca="1">Исх.данные!F54</f>
        <v>1.1200000000000001</v>
      </c>
      <c r="F126" s="21">
        <f>C126*D126/1000*M102</f>
        <v>15643.326562500002</v>
      </c>
      <c r="G126" s="21">
        <f t="shared" si="14"/>
        <v>17520.525750000004</v>
      </c>
      <c r="H126" s="21">
        <f>G126*H121</f>
        <v>5291.1987765000013</v>
      </c>
      <c r="I126" s="21">
        <f>G126*I121</f>
        <v>15733.432123500004</v>
      </c>
      <c r="J126" s="21">
        <f>G115*C126/10000</f>
        <v>24.770834400000005</v>
      </c>
      <c r="K126" s="21">
        <f t="shared" si="15"/>
        <v>38569.92748440001</v>
      </c>
      <c r="L126" s="21">
        <f t="shared" si="16"/>
        <v>0.41552391970472657</v>
      </c>
    </row>
    <row r="127" spans="1:12">
      <c r="A127" t="s">
        <v>175</v>
      </c>
      <c r="B127" s="74">
        <f ca="1">Исх.данные!L8</f>
        <v>1291.4000000000001</v>
      </c>
      <c r="C127">
        <f ca="1">Исх.данные!L27</f>
        <v>435</v>
      </c>
      <c r="D127" s="21">
        <f ca="1">M99*E100*M100</f>
        <v>204.75</v>
      </c>
      <c r="E127">
        <f ca="1">Исх.данные!F54</f>
        <v>1.1200000000000001</v>
      </c>
      <c r="F127" s="21">
        <f>C127*D127/1000*M102</f>
        <v>3793.1143002717395</v>
      </c>
      <c r="G127" s="21">
        <f t="shared" si="14"/>
        <v>4248.2880163043483</v>
      </c>
      <c r="H127" s="21">
        <f>G127*H121</f>
        <v>1282.9829809239131</v>
      </c>
      <c r="I127" s="21">
        <f>G127*I121</f>
        <v>3814.9626386413047</v>
      </c>
      <c r="J127" s="21">
        <f>G115*C127/10000</f>
        <v>6.0063060000000013</v>
      </c>
      <c r="K127" s="21">
        <f t="shared" si="15"/>
        <v>9352.2399418695641</v>
      </c>
      <c r="L127" s="21">
        <f t="shared" si="16"/>
        <v>0.60349491132811706</v>
      </c>
    </row>
    <row r="129" spans="1:13">
      <c r="A129" s="75" t="s">
        <v>230</v>
      </c>
    </row>
    <row r="130" spans="1:13">
      <c r="A130" t="s">
        <v>177</v>
      </c>
    </row>
    <row r="131" spans="1:13" ht="17.25" customHeight="1">
      <c r="A131" t="s">
        <v>231</v>
      </c>
      <c r="M131">
        <v>2.77</v>
      </c>
    </row>
    <row r="132" spans="1:13">
      <c r="A132" t="s">
        <v>126</v>
      </c>
      <c r="L132">
        <v>1</v>
      </c>
      <c r="M132" s="74">
        <v>1</v>
      </c>
    </row>
    <row r="133" spans="1:13">
      <c r="A133" t="str">
        <f>A8</f>
        <v>Часовая ставка 1 разряда (руб/час)</v>
      </c>
      <c r="L133" s="21"/>
      <c r="M133" s="21">
        <f>M7</f>
        <v>42.587560386473434</v>
      </c>
    </row>
    <row r="135" spans="1:13" ht="13.5" thickBot="1">
      <c r="A135" t="s">
        <v>232</v>
      </c>
    </row>
    <row r="136" spans="1:13">
      <c r="B136" s="95" t="s">
        <v>135</v>
      </c>
      <c r="C136" s="118"/>
      <c r="D136" s="118"/>
      <c r="E136" s="89" t="s">
        <v>187</v>
      </c>
      <c r="F136" s="130" t="s">
        <v>88</v>
      </c>
      <c r="G136" s="139" t="s">
        <v>189</v>
      </c>
      <c r="H136" s="83"/>
      <c r="I136" s="83"/>
    </row>
    <row r="137" spans="1:13">
      <c r="B137" s="97" t="s">
        <v>74</v>
      </c>
      <c r="C137" s="83"/>
      <c r="D137" s="82"/>
      <c r="E137" s="141" t="s">
        <v>188</v>
      </c>
      <c r="F137" s="100" t="s">
        <v>89</v>
      </c>
      <c r="G137" s="140" t="s">
        <v>192</v>
      </c>
      <c r="H137" s="83"/>
      <c r="I137" s="83"/>
    </row>
    <row r="138" spans="1:13">
      <c r="B138" s="97"/>
      <c r="C138" s="83"/>
      <c r="D138" s="82"/>
      <c r="E138" s="142" t="s">
        <v>192</v>
      </c>
      <c r="F138" s="100"/>
      <c r="G138" s="6" t="s">
        <v>233</v>
      </c>
      <c r="H138" s="36"/>
      <c r="I138" s="36"/>
    </row>
    <row r="139" spans="1:13" ht="13.5" thickBot="1">
      <c r="B139" s="104"/>
      <c r="C139" s="119"/>
      <c r="D139" s="119"/>
      <c r="E139" s="92"/>
      <c r="F139" s="102"/>
      <c r="G139" s="9" t="s">
        <v>223</v>
      </c>
      <c r="H139" s="83"/>
      <c r="I139" s="26"/>
    </row>
    <row r="140" spans="1:13">
      <c r="A140" s="134"/>
      <c r="B140" s="406" t="str">
        <f ca="1">Цены!B18</f>
        <v>Метла березовая</v>
      </c>
      <c r="C140" s="407"/>
      <c r="D140" s="408"/>
      <c r="E140" s="143">
        <v>7.0000000000000007E-2</v>
      </c>
      <c r="F140" s="136">
        <f ca="1">Цены!E18</f>
        <v>67</v>
      </c>
      <c r="G140" s="21">
        <f>E140*F140</f>
        <v>4.6900000000000004</v>
      </c>
      <c r="H140" s="138"/>
      <c r="I140" s="47"/>
    </row>
    <row r="141" spans="1:13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13" ht="13.5" thickBot="1">
      <c r="A142" s="71" t="s">
        <v>234</v>
      </c>
      <c r="B142" s="46"/>
    </row>
    <row r="143" spans="1:13" ht="13.5" thickBot="1">
      <c r="A143" s="15" t="s">
        <v>71</v>
      </c>
      <c r="B143" s="15" t="s">
        <v>103</v>
      </c>
      <c r="C143" s="15" t="s">
        <v>108</v>
      </c>
      <c r="D143" s="22" t="s">
        <v>111</v>
      </c>
      <c r="E143" s="23"/>
      <c r="F143" s="23"/>
      <c r="G143" s="23"/>
      <c r="H143" s="23"/>
      <c r="I143" s="23"/>
      <c r="J143" s="24"/>
      <c r="K143" s="15" t="s">
        <v>124</v>
      </c>
    </row>
    <row r="144" spans="1:13">
      <c r="A144" s="6" t="s">
        <v>102</v>
      </c>
      <c r="B144" s="6" t="s">
        <v>104</v>
      </c>
      <c r="C144" s="6" t="s">
        <v>109</v>
      </c>
      <c r="D144" s="15" t="s">
        <v>114</v>
      </c>
      <c r="E144" s="15" t="s">
        <v>112</v>
      </c>
      <c r="F144" s="15" t="s">
        <v>112</v>
      </c>
      <c r="G144" s="15" t="s">
        <v>113</v>
      </c>
      <c r="H144" s="15" t="s">
        <v>116</v>
      </c>
      <c r="I144" s="15" t="s">
        <v>118</v>
      </c>
      <c r="J144" s="15" t="s">
        <v>121</v>
      </c>
      <c r="K144" s="6" t="s">
        <v>125</v>
      </c>
    </row>
    <row r="145" spans="1:13">
      <c r="A145" s="6"/>
      <c r="B145" s="6" t="s">
        <v>105</v>
      </c>
      <c r="C145" s="6" t="s">
        <v>110</v>
      </c>
      <c r="D145" s="6" t="s">
        <v>115</v>
      </c>
      <c r="E145" s="6"/>
      <c r="F145" s="6" t="s">
        <v>123</v>
      </c>
      <c r="G145" s="6"/>
      <c r="H145" s="6" t="s">
        <v>117</v>
      </c>
      <c r="I145" s="6" t="s">
        <v>119</v>
      </c>
      <c r="J145" s="6" t="s">
        <v>122</v>
      </c>
      <c r="K145" s="6" t="s">
        <v>127</v>
      </c>
    </row>
    <row r="146" spans="1:13" ht="13.5" thickBot="1">
      <c r="A146" s="9"/>
      <c r="B146" s="9" t="s">
        <v>106</v>
      </c>
      <c r="C146" s="9" t="s">
        <v>192</v>
      </c>
      <c r="D146" s="9"/>
      <c r="E146" s="9"/>
      <c r="F146" s="9"/>
      <c r="G146" s="73">
        <f ca="1">Исх.данные!F51</f>
        <v>0.30199999999999999</v>
      </c>
      <c r="H146" s="73">
        <f ca="1">Исх.данные!F52</f>
        <v>0.89800000000000002</v>
      </c>
      <c r="I146" s="9" t="s">
        <v>120</v>
      </c>
      <c r="J146" s="9" t="s">
        <v>75</v>
      </c>
      <c r="K146" s="9"/>
    </row>
    <row r="147" spans="1:13">
      <c r="A147" t="s">
        <v>16</v>
      </c>
      <c r="B147" s="74">
        <f ca="1">Исх.данные!C8</f>
        <v>2595.5</v>
      </c>
      <c r="C147" s="21">
        <f ca="1">M131</f>
        <v>2.77</v>
      </c>
      <c r="D147">
        <f ca="1">Исх.данные!F54</f>
        <v>1.1200000000000001</v>
      </c>
      <c r="E147" s="21">
        <f>C147*B147/1000*M133</f>
        <v>306.18475596316432</v>
      </c>
      <c r="F147" s="21">
        <f t="shared" ref="F147:F156" si="17">E147*D147</f>
        <v>342.92692667874405</v>
      </c>
      <c r="G147" s="21">
        <f>F147*G146</f>
        <v>103.5639318569807</v>
      </c>
      <c r="H147" s="21">
        <f>F147*H146</f>
        <v>307.94838015751219</v>
      </c>
      <c r="I147" s="21">
        <f>G140*B147/1000</f>
        <v>12.172895</v>
      </c>
      <c r="J147" s="21">
        <f t="shared" ref="J147:J156" si="18">SUM(F147:I147)</f>
        <v>766.61213369323707</v>
      </c>
      <c r="K147" s="21">
        <f t="shared" ref="K147:K156" si="19">J147/12/B147</f>
        <v>2.4613502012882461E-2</v>
      </c>
    </row>
    <row r="148" spans="1:13">
      <c r="A148" t="s">
        <v>28</v>
      </c>
      <c r="B148" s="74">
        <f ca="1">Исх.данные!D8</f>
        <v>2595.5</v>
      </c>
      <c r="C148" s="21">
        <f ca="1">M131</f>
        <v>2.77</v>
      </c>
      <c r="D148">
        <f ca="1">Исх.данные!F54</f>
        <v>1.1200000000000001</v>
      </c>
      <c r="E148" s="21">
        <f>C148*B148/1000*M133</f>
        <v>306.18475596316432</v>
      </c>
      <c r="F148" s="21">
        <f t="shared" si="17"/>
        <v>342.92692667874405</v>
      </c>
      <c r="G148" s="21">
        <f>F148*G146</f>
        <v>103.5639318569807</v>
      </c>
      <c r="H148" s="21">
        <f>F148*H146</f>
        <v>307.94838015751219</v>
      </c>
      <c r="I148" s="21">
        <f>G140*B148/1000</f>
        <v>12.172895</v>
      </c>
      <c r="J148" s="21">
        <f t="shared" si="18"/>
        <v>766.61213369323707</v>
      </c>
      <c r="K148" s="21">
        <f t="shared" si="19"/>
        <v>2.4613502012882461E-2</v>
      </c>
    </row>
    <row r="149" spans="1:13">
      <c r="A149" t="s">
        <v>36</v>
      </c>
      <c r="B149" s="74">
        <f ca="1">Исх.данные!E8</f>
        <v>7735.2</v>
      </c>
      <c r="C149" s="21">
        <f ca="1">M131</f>
        <v>2.77</v>
      </c>
      <c r="D149">
        <f ca="1">Исх.данные!F54</f>
        <v>1.1200000000000001</v>
      </c>
      <c r="E149" s="21">
        <f>C149*B149/1000*M133</f>
        <v>912.5025329710146</v>
      </c>
      <c r="F149" s="21">
        <f t="shared" si="17"/>
        <v>1022.0028369275365</v>
      </c>
      <c r="G149" s="21">
        <f>F149*G146</f>
        <v>308.64485675211603</v>
      </c>
      <c r="H149" s="21">
        <f>F149*H146</f>
        <v>917.75854756092781</v>
      </c>
      <c r="I149" s="21">
        <f>G140*B149/1000</f>
        <v>36.278088000000004</v>
      </c>
      <c r="J149" s="21">
        <f t="shared" si="18"/>
        <v>2284.6843292405802</v>
      </c>
      <c r="K149" s="21">
        <f t="shared" si="19"/>
        <v>2.4613502012882454E-2</v>
      </c>
    </row>
    <row r="150" spans="1:13">
      <c r="A150" t="s">
        <v>39</v>
      </c>
      <c r="B150" s="74">
        <f ca="1">Исх.данные!F8</f>
        <v>7735.2</v>
      </c>
      <c r="C150" s="21">
        <f ca="1">M131</f>
        <v>2.77</v>
      </c>
      <c r="D150">
        <f ca="1">Исх.данные!F54</f>
        <v>1.1200000000000001</v>
      </c>
      <c r="E150" s="21">
        <f>C150*B150/1000*M133</f>
        <v>912.5025329710146</v>
      </c>
      <c r="F150" s="21">
        <f t="shared" si="17"/>
        <v>1022.0028369275365</v>
      </c>
      <c r="G150" s="21">
        <f>F150*G146</f>
        <v>308.64485675211603</v>
      </c>
      <c r="H150" s="21">
        <f>F150*H146</f>
        <v>917.75854756092781</v>
      </c>
      <c r="I150" s="21">
        <f>G140*B150/1000</f>
        <v>36.278088000000004</v>
      </c>
      <c r="J150" s="21">
        <f t="shared" si="18"/>
        <v>2284.6843292405802</v>
      </c>
      <c r="K150" s="21">
        <f t="shared" si="19"/>
        <v>2.4613502012882454E-2</v>
      </c>
    </row>
    <row r="151" spans="1:13">
      <c r="A151" t="s">
        <v>64</v>
      </c>
      <c r="B151" s="74">
        <f ca="1">Исх.данные!G8</f>
        <v>7735.2</v>
      </c>
      <c r="C151" s="21">
        <f ca="1">M131</f>
        <v>2.77</v>
      </c>
      <c r="D151">
        <f ca="1">Исх.данные!F54</f>
        <v>1.1200000000000001</v>
      </c>
      <c r="E151" s="21">
        <f>C151*B151/1000*M133</f>
        <v>912.5025329710146</v>
      </c>
      <c r="F151" s="21">
        <f t="shared" si="17"/>
        <v>1022.0028369275365</v>
      </c>
      <c r="G151" s="21">
        <f>F151*G146</f>
        <v>308.64485675211603</v>
      </c>
      <c r="H151" s="21">
        <f>F151*H146</f>
        <v>917.75854756092781</v>
      </c>
      <c r="I151" s="21">
        <f>G140*B151/1000</f>
        <v>36.278088000000004</v>
      </c>
      <c r="J151" s="21">
        <f t="shared" si="18"/>
        <v>2284.6843292405802</v>
      </c>
      <c r="K151" s="21">
        <f t="shared" si="19"/>
        <v>2.4613502012882454E-2</v>
      </c>
    </row>
    <row r="152" spans="1:13">
      <c r="A152" t="s">
        <v>41</v>
      </c>
      <c r="B152" s="74">
        <f ca="1">Исх.данные!H8</f>
        <v>189.5</v>
      </c>
      <c r="C152" s="21">
        <f ca="1">M131</f>
        <v>2.77</v>
      </c>
      <c r="D152">
        <f ca="1">Исх.данные!F54</f>
        <v>1.1200000000000001</v>
      </c>
      <c r="E152" s="21">
        <f>C152*B152/1000*M133</f>
        <v>22.354849260265699</v>
      </c>
      <c r="F152" s="21">
        <f>E152*D152</f>
        <v>25.037431171497584</v>
      </c>
      <c r="G152" s="21">
        <f>F152*G146</f>
        <v>7.5613042137922699</v>
      </c>
      <c r="H152" s="21">
        <f>F152*H146</f>
        <v>22.483613192004832</v>
      </c>
      <c r="I152" s="21">
        <f>G140*B152/1000</f>
        <v>0.88875500000000007</v>
      </c>
      <c r="J152" s="21">
        <f>SUM(F152:I152)</f>
        <v>55.971103577294691</v>
      </c>
      <c r="K152" s="21">
        <f t="shared" si="19"/>
        <v>2.4613502012882447E-2</v>
      </c>
    </row>
    <row r="153" spans="1:13">
      <c r="A153" t="s">
        <v>44</v>
      </c>
      <c r="B153" s="74">
        <f ca="1">Исх.данные!I8</f>
        <v>158.5</v>
      </c>
      <c r="C153" s="21">
        <f ca="1">M131</f>
        <v>2.77</v>
      </c>
      <c r="D153">
        <f ca="1">Исх.данные!F54</f>
        <v>1.1200000000000001</v>
      </c>
      <c r="E153" s="21">
        <f>C153*B153/1000*M133</f>
        <v>18.697855449879231</v>
      </c>
      <c r="F153" s="21">
        <f>E153*D153</f>
        <v>20.941598103864742</v>
      </c>
      <c r="G153" s="21">
        <f>F153*G146</f>
        <v>6.3243626273671518</v>
      </c>
      <c r="H153" s="21">
        <f>F153*H146</f>
        <v>18.805555097270538</v>
      </c>
      <c r="I153" s="21">
        <f>G140*B153/1000</f>
        <v>0.74336500000000005</v>
      </c>
      <c r="J153" s="21">
        <f>SUM(F153:I153)</f>
        <v>46.814880828502424</v>
      </c>
      <c r="K153" s="21">
        <f t="shared" si="19"/>
        <v>2.4613502012882451E-2</v>
      </c>
    </row>
    <row r="154" spans="1:13">
      <c r="A154" t="s">
        <v>45</v>
      </c>
      <c r="B154" s="74">
        <f ca="1">Исх.данные!J8</f>
        <v>551.6</v>
      </c>
      <c r="C154" s="21">
        <f ca="1">M131</f>
        <v>2.77</v>
      </c>
      <c r="D154">
        <f ca="1">Исх.данные!F54</f>
        <v>1.1200000000000001</v>
      </c>
      <c r="E154" s="21">
        <f>C154*B154/1000*M133</f>
        <v>65.070896316425134</v>
      </c>
      <c r="F154" s="21">
        <f>E154*D154</f>
        <v>72.879403874396161</v>
      </c>
      <c r="G154" s="21">
        <f>F154*G146</f>
        <v>22.009579970067641</v>
      </c>
      <c r="H154" s="21">
        <f>F154*H146</f>
        <v>65.445704679207751</v>
      </c>
      <c r="I154" s="21">
        <f>G140*B154/1000</f>
        <v>2.5870040000000003</v>
      </c>
      <c r="J154" s="21">
        <f>SUM(F154:I154)</f>
        <v>162.92169252367157</v>
      </c>
      <c r="K154" s="21">
        <f t="shared" si="19"/>
        <v>2.4613502012882458E-2</v>
      </c>
    </row>
    <row r="155" spans="1:13">
      <c r="A155" t="s">
        <v>46</v>
      </c>
      <c r="B155" s="74">
        <f ca="1">Исх.данные!K8</f>
        <v>43.3</v>
      </c>
      <c r="C155" s="21">
        <f ca="1">M131</f>
        <v>2.77</v>
      </c>
      <c r="D155">
        <f ca="1">Исх.данные!F54</f>
        <v>1.1200000000000001</v>
      </c>
      <c r="E155" s="21">
        <f>C155*B155/1000*M133</f>
        <v>5.1079945803140099</v>
      </c>
      <c r="F155" s="21">
        <f>E155*D155</f>
        <v>5.7209539299516914</v>
      </c>
      <c r="G155" s="21">
        <f>F155*G146</f>
        <v>1.7277280868454108</v>
      </c>
      <c r="H155" s="21">
        <f>F155*H146</f>
        <v>5.1374166290966192</v>
      </c>
      <c r="I155" s="21">
        <f>G140*B155/1000</f>
        <v>0.20307700000000001</v>
      </c>
      <c r="J155" s="21">
        <f>SUM(F155:I155)</f>
        <v>12.789175645893721</v>
      </c>
      <c r="K155" s="21">
        <f t="shared" si="19"/>
        <v>2.4613502012882451E-2</v>
      </c>
    </row>
    <row r="156" spans="1:13">
      <c r="A156" t="s">
        <v>175</v>
      </c>
      <c r="B156" s="74">
        <f ca="1">Исх.данные!L8</f>
        <v>1291.4000000000001</v>
      </c>
      <c r="C156" s="21">
        <f ca="1">M131</f>
        <v>2.77</v>
      </c>
      <c r="D156">
        <f ca="1">Исх.данные!F54</f>
        <v>1.1200000000000001</v>
      </c>
      <c r="E156" s="21">
        <f>C156*B156/1000*M133</f>
        <v>152.3432840881643</v>
      </c>
      <c r="F156" s="21">
        <f t="shared" si="17"/>
        <v>170.62447817874403</v>
      </c>
      <c r="G156" s="21">
        <f>F156*G146</f>
        <v>51.528592409980696</v>
      </c>
      <c r="H156" s="21">
        <f>F156*H146</f>
        <v>153.22078140451214</v>
      </c>
      <c r="I156" s="21">
        <f>G140*B156/1000</f>
        <v>6.0566660000000008</v>
      </c>
      <c r="J156" s="21">
        <f t="shared" si="18"/>
        <v>381.43051799323683</v>
      </c>
      <c r="K156" s="21">
        <f t="shared" si="19"/>
        <v>2.4613502012882451E-2</v>
      </c>
    </row>
    <row r="157" spans="1:13">
      <c r="A157" s="75" t="s">
        <v>214</v>
      </c>
      <c r="B157" s="75"/>
    </row>
    <row r="158" spans="1:13">
      <c r="A158" t="s">
        <v>177</v>
      </c>
    </row>
    <row r="159" spans="1:13">
      <c r="A159" t="s">
        <v>219</v>
      </c>
      <c r="J159" s="261" t="s">
        <v>660</v>
      </c>
      <c r="K159" s="199">
        <v>0.8</v>
      </c>
    </row>
    <row r="160" spans="1:13">
      <c r="C160" t="s">
        <v>220</v>
      </c>
      <c r="M160" s="21">
        <f>17.32*K159</f>
        <v>13.856000000000002</v>
      </c>
    </row>
    <row r="161" spans="1:13">
      <c r="C161" t="s">
        <v>221</v>
      </c>
      <c r="M161">
        <v>9.17</v>
      </c>
    </row>
    <row r="162" spans="1:13">
      <c r="A162" t="s">
        <v>126</v>
      </c>
      <c r="L162">
        <v>1</v>
      </c>
      <c r="M162" s="74">
        <v>1</v>
      </c>
    </row>
    <row r="163" spans="1:13">
      <c r="A163" t="str">
        <f>A133</f>
        <v>Часовая ставка 1 разряда (руб/час)</v>
      </c>
      <c r="L163" s="21"/>
      <c r="M163" s="21">
        <f>M133</f>
        <v>42.587560386473434</v>
      </c>
    </row>
    <row r="165" spans="1:13" ht="13.5" thickBot="1">
      <c r="A165" t="s">
        <v>222</v>
      </c>
    </row>
    <row r="166" spans="1:13">
      <c r="B166" s="95" t="s">
        <v>135</v>
      </c>
      <c r="C166" s="118"/>
      <c r="D166" s="118"/>
      <c r="E166" s="128" t="s">
        <v>224</v>
      </c>
      <c r="F166" s="129"/>
      <c r="G166" s="130" t="s">
        <v>88</v>
      </c>
      <c r="H166" s="416" t="s">
        <v>227</v>
      </c>
      <c r="I166" s="417"/>
    </row>
    <row r="167" spans="1:13">
      <c r="B167" s="97" t="s">
        <v>74</v>
      </c>
      <c r="C167" s="83"/>
      <c r="D167" s="82"/>
      <c r="E167" s="126" t="s">
        <v>190</v>
      </c>
      <c r="F167" s="127"/>
      <c r="G167" s="100" t="s">
        <v>89</v>
      </c>
      <c r="H167" s="418" t="s">
        <v>190</v>
      </c>
      <c r="I167" s="419"/>
    </row>
    <row r="168" spans="1:13" ht="13.5" thickBot="1">
      <c r="B168" s="97"/>
      <c r="C168" s="83"/>
      <c r="D168" s="82"/>
      <c r="E168" s="31"/>
      <c r="F168" s="32"/>
      <c r="G168" s="100"/>
      <c r="H168" s="421" t="s">
        <v>228</v>
      </c>
      <c r="I168" s="422"/>
    </row>
    <row r="169" spans="1:13" ht="13.5" thickBot="1">
      <c r="B169" s="104"/>
      <c r="C169" s="119"/>
      <c r="D169" s="105"/>
      <c r="E169" s="132" t="s">
        <v>225</v>
      </c>
      <c r="F169" s="133" t="s">
        <v>226</v>
      </c>
      <c r="G169" s="92"/>
      <c r="H169" s="132" t="s">
        <v>225</v>
      </c>
      <c r="I169" s="133" t="s">
        <v>226</v>
      </c>
    </row>
    <row r="170" spans="1:13">
      <c r="A170" s="134"/>
      <c r="B170" s="406" t="str">
        <f ca="1">Цены!B19</f>
        <v>Мешки полиэтиленовые</v>
      </c>
      <c r="C170" s="407"/>
      <c r="D170" s="408"/>
      <c r="E170" s="135">
        <v>3.2</v>
      </c>
      <c r="F170" s="26">
        <v>1.7</v>
      </c>
      <c r="G170" s="136">
        <f ca="1">Цены!E19</f>
        <v>0.65</v>
      </c>
      <c r="H170" s="137">
        <f>E170*G170</f>
        <v>2.08</v>
      </c>
      <c r="I170" s="47">
        <f>F170*G170</f>
        <v>1.105</v>
      </c>
    </row>
    <row r="171" spans="1:13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13" ht="13.5" thickBot="1">
      <c r="A172" s="71" t="s">
        <v>229</v>
      </c>
      <c r="B172" s="46"/>
    </row>
    <row r="173" spans="1:13" ht="13.5" thickBot="1">
      <c r="A173" s="15" t="s">
        <v>71</v>
      </c>
      <c r="B173" s="15" t="s">
        <v>103</v>
      </c>
      <c r="C173" s="15" t="s">
        <v>108</v>
      </c>
      <c r="D173" s="22" t="s">
        <v>111</v>
      </c>
      <c r="E173" s="23"/>
      <c r="F173" s="23"/>
      <c r="G173" s="23"/>
      <c r="H173" s="23"/>
      <c r="I173" s="23"/>
      <c r="J173" s="24"/>
      <c r="K173" s="15" t="s">
        <v>124</v>
      </c>
    </row>
    <row r="174" spans="1:13">
      <c r="A174" s="6" t="s">
        <v>102</v>
      </c>
      <c r="B174" s="6" t="s">
        <v>104</v>
      </c>
      <c r="C174" s="6" t="s">
        <v>109</v>
      </c>
      <c r="D174" s="15" t="s">
        <v>114</v>
      </c>
      <c r="E174" s="15" t="s">
        <v>112</v>
      </c>
      <c r="F174" s="15" t="s">
        <v>112</v>
      </c>
      <c r="G174" s="15" t="s">
        <v>113</v>
      </c>
      <c r="H174" s="15" t="s">
        <v>116</v>
      </c>
      <c r="I174" s="15" t="s">
        <v>118</v>
      </c>
      <c r="J174" s="15" t="s">
        <v>121</v>
      </c>
      <c r="K174" s="6" t="s">
        <v>125</v>
      </c>
    </row>
    <row r="175" spans="1:13">
      <c r="A175" s="6"/>
      <c r="B175" s="6" t="s">
        <v>105</v>
      </c>
      <c r="C175" s="6" t="s">
        <v>110</v>
      </c>
      <c r="D175" s="6" t="s">
        <v>115</v>
      </c>
      <c r="E175" s="6"/>
      <c r="F175" s="6" t="s">
        <v>123</v>
      </c>
      <c r="G175" s="6"/>
      <c r="H175" s="6" t="s">
        <v>117</v>
      </c>
      <c r="I175" s="6" t="s">
        <v>119</v>
      </c>
      <c r="J175" s="6" t="s">
        <v>122</v>
      </c>
      <c r="K175" s="6" t="s">
        <v>127</v>
      </c>
    </row>
    <row r="176" spans="1:13" ht="13.5" thickBot="1">
      <c r="A176" s="9"/>
      <c r="B176" s="9" t="s">
        <v>106</v>
      </c>
      <c r="C176" s="9" t="s">
        <v>192</v>
      </c>
      <c r="D176" s="9"/>
      <c r="E176" s="9"/>
      <c r="F176" s="9"/>
      <c r="G176" s="73">
        <f ca="1">Исх.данные!F51</f>
        <v>0.30199999999999999</v>
      </c>
      <c r="H176" s="73">
        <f ca="1">Исх.данные!F52</f>
        <v>0.89800000000000002</v>
      </c>
      <c r="I176" s="9" t="s">
        <v>120</v>
      </c>
      <c r="J176" s="9" t="s">
        <v>75</v>
      </c>
      <c r="K176" s="9"/>
    </row>
    <row r="177" spans="1:13">
      <c r="A177" t="s">
        <v>16</v>
      </c>
      <c r="B177" s="74">
        <f ca="1">Исх.данные!C8</f>
        <v>2595.5</v>
      </c>
      <c r="C177" s="21">
        <f ca="1">M160</f>
        <v>13.856000000000002</v>
      </c>
      <c r="D177">
        <f ca="1">Исх.данные!F54</f>
        <v>1.1200000000000001</v>
      </c>
      <c r="E177" s="21">
        <f>C177*B177/1000*M163</f>
        <v>1531.5869958937203</v>
      </c>
      <c r="F177" s="21">
        <f t="shared" ref="F177:F182" si="20">E177*D177</f>
        <v>1715.377435400967</v>
      </c>
      <c r="G177" s="21">
        <f>F177*G176</f>
        <v>518.04398549109203</v>
      </c>
      <c r="H177" s="21">
        <f>F177*H176</f>
        <v>1540.4089369900685</v>
      </c>
      <c r="I177" s="21">
        <f>H170*B177/1000</f>
        <v>5.3986400000000003</v>
      </c>
      <c r="J177" s="21">
        <f t="shared" ref="J177:J182" si="21">SUM(F177:I177)</f>
        <v>3779.2289978821273</v>
      </c>
      <c r="K177" s="21">
        <f t="shared" ref="K177:K182" si="22">J177/12/B177</f>
        <v>0.1213391446054751</v>
      </c>
    </row>
    <row r="178" spans="1:13">
      <c r="A178" t="s">
        <v>28</v>
      </c>
      <c r="B178" s="74">
        <f ca="1">Исх.данные!D8</f>
        <v>2595.5</v>
      </c>
      <c r="C178" s="21">
        <f ca="1">M160</f>
        <v>13.856000000000002</v>
      </c>
      <c r="D178">
        <f ca="1">Исх.данные!F54</f>
        <v>1.1200000000000001</v>
      </c>
      <c r="E178" s="21">
        <f>C178*B178/1000*M163</f>
        <v>1531.5869958937203</v>
      </c>
      <c r="F178" s="21">
        <f t="shared" si="20"/>
        <v>1715.377435400967</v>
      </c>
      <c r="G178" s="21">
        <f>F178*G176</f>
        <v>518.04398549109203</v>
      </c>
      <c r="H178" s="21">
        <f>F178*H176</f>
        <v>1540.4089369900685</v>
      </c>
      <c r="I178" s="21">
        <f>H170*B178/1000</f>
        <v>5.3986400000000003</v>
      </c>
      <c r="J178" s="21">
        <f t="shared" si="21"/>
        <v>3779.2289978821273</v>
      </c>
      <c r="K178" s="21">
        <f t="shared" si="22"/>
        <v>0.1213391446054751</v>
      </c>
    </row>
    <row r="179" spans="1:13">
      <c r="A179" t="s">
        <v>36</v>
      </c>
      <c r="B179" s="74">
        <f ca="1">Исх.данные!E8</f>
        <v>7735.2</v>
      </c>
      <c r="C179" s="21">
        <f ca="1">M161</f>
        <v>9.17</v>
      </c>
      <c r="D179">
        <f ca="1">Исх.данные!F54</f>
        <v>1.1200000000000001</v>
      </c>
      <c r="E179" s="21">
        <f>C179*B179/1000*M163</f>
        <v>3020.8116344202899</v>
      </c>
      <c r="F179" s="21">
        <f t="shared" si="20"/>
        <v>3383.3090305507249</v>
      </c>
      <c r="G179" s="21">
        <f>F179*G176</f>
        <v>1021.7593272263189</v>
      </c>
      <c r="H179" s="21">
        <f>F179*H176</f>
        <v>3038.2115094345509</v>
      </c>
      <c r="I179" s="21">
        <f>I170*B179/1000</f>
        <v>8.5473959999999991</v>
      </c>
      <c r="J179" s="21">
        <f t="shared" si="21"/>
        <v>7451.8272632115941</v>
      </c>
      <c r="K179" s="21">
        <f t="shared" si="22"/>
        <v>8.0280484702093396E-2</v>
      </c>
    </row>
    <row r="180" spans="1:13">
      <c r="A180" t="s">
        <v>39</v>
      </c>
      <c r="B180" s="74">
        <f ca="1">Исх.данные!F8</f>
        <v>7735.2</v>
      </c>
      <c r="C180" s="21">
        <f ca="1">M161</f>
        <v>9.17</v>
      </c>
      <c r="D180">
        <f ca="1">Исх.данные!F54</f>
        <v>1.1200000000000001</v>
      </c>
      <c r="E180" s="21">
        <f>C180*B180/1000*M163</f>
        <v>3020.8116344202899</v>
      </c>
      <c r="F180" s="21">
        <f t="shared" si="20"/>
        <v>3383.3090305507249</v>
      </c>
      <c r="G180" s="21">
        <f>F180*G176</f>
        <v>1021.7593272263189</v>
      </c>
      <c r="H180" s="21">
        <f>F180*H176</f>
        <v>3038.2115094345509</v>
      </c>
      <c r="I180" s="21">
        <f>I170*B180/1000</f>
        <v>8.5473959999999991</v>
      </c>
      <c r="J180" s="21">
        <f t="shared" si="21"/>
        <v>7451.8272632115941</v>
      </c>
      <c r="K180" s="21">
        <f t="shared" si="22"/>
        <v>8.0280484702093396E-2</v>
      </c>
    </row>
    <row r="181" spans="1:13">
      <c r="A181" t="s">
        <v>64</v>
      </c>
      <c r="B181" s="74">
        <f ca="1">Исх.данные!G8</f>
        <v>7735.2</v>
      </c>
      <c r="C181" s="21">
        <f ca="1">M161</f>
        <v>9.17</v>
      </c>
      <c r="D181">
        <f ca="1">Исх.данные!F54</f>
        <v>1.1200000000000001</v>
      </c>
      <c r="E181" s="21">
        <f>C181*B181/1000*M163</f>
        <v>3020.8116344202899</v>
      </c>
      <c r="F181" s="21">
        <f t="shared" si="20"/>
        <v>3383.3090305507249</v>
      </c>
      <c r="G181" s="21">
        <f>F181*G176</f>
        <v>1021.7593272263189</v>
      </c>
      <c r="H181" s="21">
        <f>F181*H176</f>
        <v>3038.2115094345509</v>
      </c>
      <c r="I181" s="21">
        <f>I170*B181/1000</f>
        <v>8.5473959999999991</v>
      </c>
      <c r="J181" s="21">
        <f t="shared" si="21"/>
        <v>7451.8272632115941</v>
      </c>
      <c r="K181" s="21">
        <f t="shared" si="22"/>
        <v>8.0280484702093396E-2</v>
      </c>
    </row>
    <row r="182" spans="1:13">
      <c r="A182" t="s">
        <v>175</v>
      </c>
      <c r="B182" s="74">
        <f ca="1">Исх.данные!L8</f>
        <v>1291.4000000000001</v>
      </c>
      <c r="C182" s="21">
        <f ca="1">M160</f>
        <v>13.856000000000002</v>
      </c>
      <c r="D182">
        <f ca="1">Исх.данные!F54</f>
        <v>1.1200000000000001</v>
      </c>
      <c r="E182" s="21">
        <f>C182*B182/1000*M163</f>
        <v>762.04640589372002</v>
      </c>
      <c r="F182" s="21">
        <f t="shared" si="20"/>
        <v>853.4919746009665</v>
      </c>
      <c r="G182" s="21">
        <f>F182*G176</f>
        <v>257.7545763294919</v>
      </c>
      <c r="H182" s="21">
        <f>F182*H176</f>
        <v>766.43579319166793</v>
      </c>
      <c r="I182" s="21">
        <f>I170*B182/1000</f>
        <v>1.4269970000000001</v>
      </c>
      <c r="J182" s="21">
        <f t="shared" si="21"/>
        <v>1879.1093411221264</v>
      </c>
      <c r="K182" s="21">
        <f t="shared" si="22"/>
        <v>0.12125789460547508</v>
      </c>
    </row>
    <row r="184" spans="1:13">
      <c r="A184" s="75" t="s">
        <v>238</v>
      </c>
    </row>
    <row r="185" spans="1:13">
      <c r="A185" t="s">
        <v>177</v>
      </c>
    </row>
    <row r="186" spans="1:13">
      <c r="C186" t="s">
        <v>220</v>
      </c>
      <c r="M186">
        <v>17.32</v>
      </c>
    </row>
    <row r="187" spans="1:13">
      <c r="C187" t="s">
        <v>221</v>
      </c>
      <c r="M187">
        <v>9.17</v>
      </c>
    </row>
    <row r="188" spans="1:13">
      <c r="A188" t="s">
        <v>126</v>
      </c>
      <c r="L188">
        <v>1</v>
      </c>
      <c r="M188" s="74">
        <v>1</v>
      </c>
    </row>
    <row r="189" spans="1:13">
      <c r="A189" t="str">
        <f>A163</f>
        <v>Часовая ставка 1 разряда (руб/час)</v>
      </c>
      <c r="L189" s="21"/>
      <c r="M189" s="21">
        <f>M163</f>
        <v>42.587560386473434</v>
      </c>
    </row>
    <row r="190" spans="1:13">
      <c r="A190" t="s">
        <v>236</v>
      </c>
    </row>
    <row r="191" spans="1:13">
      <c r="A191" t="s">
        <v>237</v>
      </c>
    </row>
    <row r="192" spans="1:13" s="281" customFormat="1">
      <c r="A192" s="281" t="s">
        <v>599</v>
      </c>
      <c r="C192" s="282"/>
      <c r="D192" s="282"/>
      <c r="E192" s="282"/>
      <c r="F192" s="282"/>
      <c r="G192" s="282"/>
      <c r="H192" s="282"/>
      <c r="I192" s="282"/>
      <c r="J192" s="282"/>
      <c r="K192" s="282"/>
      <c r="L192" s="282"/>
    </row>
    <row r="193" spans="1:13" s="281" customFormat="1">
      <c r="A193" s="281" t="s">
        <v>705</v>
      </c>
      <c r="F193" s="281">
        <v>237</v>
      </c>
      <c r="G193" s="281" t="s">
        <v>706</v>
      </c>
    </row>
    <row r="194" spans="1:13" s="281" customFormat="1" ht="23.25" customHeight="1">
      <c r="A194" s="420" t="s">
        <v>703</v>
      </c>
      <c r="B194" s="420"/>
      <c r="C194" s="420"/>
      <c r="D194" s="420"/>
      <c r="E194" s="420"/>
      <c r="F194" s="420"/>
      <c r="G194" s="281">
        <v>200</v>
      </c>
      <c r="H194" s="281" t="s">
        <v>239</v>
      </c>
      <c r="I194" s="281" t="s">
        <v>704</v>
      </c>
      <c r="K194" s="281">
        <f>F193*G194</f>
        <v>47400</v>
      </c>
      <c r="L194" s="281" t="s">
        <v>240</v>
      </c>
    </row>
    <row r="195" spans="1:13" s="281" customFormat="1">
      <c r="A195" s="281" t="s">
        <v>241</v>
      </c>
      <c r="E195" s="281" t="s">
        <v>242</v>
      </c>
    </row>
    <row r="196" spans="1:13" s="281" customFormat="1"/>
    <row r="197" spans="1:13" s="281" customFormat="1" ht="13.5" thickBot="1">
      <c r="A197" s="71" t="s">
        <v>243</v>
      </c>
      <c r="B197" s="46"/>
    </row>
    <row r="198" spans="1:13" s="281" customFormat="1" ht="13.5" thickBot="1">
      <c r="A198" s="146"/>
      <c r="B198" s="146" t="s">
        <v>103</v>
      </c>
      <c r="C198" s="146" t="s">
        <v>108</v>
      </c>
      <c r="D198" s="423" t="s">
        <v>111</v>
      </c>
      <c r="E198" s="424"/>
      <c r="F198" s="424"/>
      <c r="G198" s="424"/>
      <c r="H198" s="424"/>
      <c r="I198" s="424"/>
      <c r="J198" s="424"/>
      <c r="K198" s="424"/>
      <c r="L198" s="425"/>
      <c r="M198" s="146" t="s">
        <v>124</v>
      </c>
    </row>
    <row r="199" spans="1:13" s="281" customFormat="1">
      <c r="A199" s="145"/>
      <c r="B199" s="145" t="s">
        <v>104</v>
      </c>
      <c r="C199" s="145" t="s">
        <v>109</v>
      </c>
      <c r="D199" s="146" t="s">
        <v>114</v>
      </c>
      <c r="E199" s="146" t="s">
        <v>112</v>
      </c>
      <c r="F199" s="146" t="s">
        <v>112</v>
      </c>
      <c r="G199" s="146" t="s">
        <v>113</v>
      </c>
      <c r="H199" s="146" t="s">
        <v>116</v>
      </c>
      <c r="I199" s="146" t="s">
        <v>245</v>
      </c>
      <c r="J199" s="146" t="s">
        <v>246</v>
      </c>
      <c r="K199" s="146" t="s">
        <v>248</v>
      </c>
      <c r="L199" s="146" t="s">
        <v>121</v>
      </c>
      <c r="M199" s="145" t="s">
        <v>125</v>
      </c>
    </row>
    <row r="200" spans="1:13" s="281" customFormat="1">
      <c r="A200" s="145"/>
      <c r="B200" s="145" t="s">
        <v>105</v>
      </c>
      <c r="C200" s="145" t="s">
        <v>110</v>
      </c>
      <c r="D200" s="145" t="s">
        <v>115</v>
      </c>
      <c r="E200" s="145"/>
      <c r="F200" s="145" t="s">
        <v>123</v>
      </c>
      <c r="G200" s="145"/>
      <c r="H200" s="145" t="s">
        <v>117</v>
      </c>
      <c r="I200" s="145"/>
      <c r="J200" s="145" t="s">
        <v>247</v>
      </c>
      <c r="K200" s="145" t="s">
        <v>249</v>
      </c>
      <c r="L200" s="145" t="s">
        <v>122</v>
      </c>
      <c r="M200" s="145" t="s">
        <v>127</v>
      </c>
    </row>
    <row r="201" spans="1:13" s="281" customFormat="1" ht="13.5" thickBot="1">
      <c r="A201" s="283"/>
      <c r="B201" s="283" t="s">
        <v>106</v>
      </c>
      <c r="C201" s="283" t="s">
        <v>244</v>
      </c>
      <c r="D201" s="283"/>
      <c r="E201" s="283"/>
      <c r="F201" s="283"/>
      <c r="G201" s="284">
        <f ca="1">Исх.данные!F51</f>
        <v>0.30199999999999999</v>
      </c>
      <c r="H201" s="284">
        <f ca="1">Исх.данные!F52</f>
        <v>0.89800000000000002</v>
      </c>
      <c r="I201" s="283"/>
      <c r="J201" s="283"/>
      <c r="K201" s="283"/>
      <c r="L201" s="283" t="s">
        <v>75</v>
      </c>
      <c r="M201" s="283"/>
    </row>
    <row r="202" spans="1:13" s="281" customFormat="1">
      <c r="B202" s="281">
        <v>137815.70000000001</v>
      </c>
      <c r="C202" s="281">
        <v>0.4</v>
      </c>
      <c r="D202" s="281">
        <f ca="1">Исх.данные!F54</f>
        <v>1.1200000000000001</v>
      </c>
      <c r="E202" s="281">
        <f>0.4*1036.8*M189</f>
        <v>17661.913043478264</v>
      </c>
      <c r="F202" s="281">
        <f>E202*D202</f>
        <v>19781.342608695657</v>
      </c>
      <c r="G202" s="281">
        <f>G201*F202</f>
        <v>5973.9654678260886</v>
      </c>
      <c r="H202" s="281">
        <f>H201*F202</f>
        <v>17763.645662608702</v>
      </c>
      <c r="I202" s="281">
        <f>K194</f>
        <v>47400</v>
      </c>
      <c r="J202" s="281">
        <v>288000</v>
      </c>
      <c r="K202" s="281">
        <f>294.45+119.5</f>
        <v>413.95</v>
      </c>
      <c r="L202" s="281">
        <v>2</v>
      </c>
      <c r="M202" s="285"/>
    </row>
    <row r="203" spans="1:13">
      <c r="M203">
        <v>0.17</v>
      </c>
    </row>
    <row r="204" spans="1:13">
      <c r="A204" s="75" t="s">
        <v>616</v>
      </c>
      <c r="B204" s="75"/>
      <c r="C204" s="75"/>
    </row>
    <row r="205" spans="1:13">
      <c r="A205" t="s">
        <v>707</v>
      </c>
    </row>
    <row r="206" spans="1:13">
      <c r="A206" t="s">
        <v>708</v>
      </c>
    </row>
    <row r="207" spans="1:13">
      <c r="A207" t="s">
        <v>709</v>
      </c>
    </row>
    <row r="208" spans="1:13">
      <c r="A208" t="s">
        <v>126</v>
      </c>
      <c r="L208">
        <v>1</v>
      </c>
      <c r="M208" s="74">
        <v>1</v>
      </c>
    </row>
    <row r="209" spans="1:13" ht="13.5" thickBot="1">
      <c r="A209" t="str">
        <f>A189</f>
        <v>Часовая ставка 1 разряда (руб/час)</v>
      </c>
      <c r="L209" s="21"/>
      <c r="M209" s="21">
        <f>M189</f>
        <v>42.587560386473434</v>
      </c>
    </row>
    <row r="210" spans="1:13" ht="13.5" thickBot="1">
      <c r="A210" s="14" t="s">
        <v>71</v>
      </c>
      <c r="B210" s="316" t="s">
        <v>710</v>
      </c>
      <c r="C210" s="317"/>
      <c r="D210" s="317"/>
      <c r="E210" s="317"/>
      <c r="F210" s="317"/>
      <c r="G210" s="133"/>
      <c r="H210" s="316" t="s">
        <v>711</v>
      </c>
      <c r="I210" s="317"/>
      <c r="J210" s="133"/>
      <c r="L210" s="21"/>
      <c r="M210" s="21"/>
    </row>
    <row r="211" spans="1:13">
      <c r="A211" s="199">
        <v>1</v>
      </c>
      <c r="B211" t="s">
        <v>712</v>
      </c>
      <c r="H211">
        <v>0.03</v>
      </c>
      <c r="L211" s="21"/>
      <c r="M211" s="21"/>
    </row>
    <row r="212" spans="1:13">
      <c r="A212" s="199">
        <v>2</v>
      </c>
      <c r="B212" t="s">
        <v>713</v>
      </c>
      <c r="H212">
        <v>3.7999999999999999E-2</v>
      </c>
      <c r="L212" s="21"/>
      <c r="M212" s="21"/>
    </row>
    <row r="213" spans="1:13">
      <c r="A213" s="199">
        <v>3</v>
      </c>
      <c r="B213" t="s">
        <v>714</v>
      </c>
      <c r="H213">
        <v>8.0000000000000002E-3</v>
      </c>
      <c r="L213" s="21"/>
      <c r="M213" s="21"/>
    </row>
    <row r="214" spans="1:13">
      <c r="A214" s="199"/>
      <c r="B214" t="s">
        <v>715</v>
      </c>
      <c r="H214">
        <v>1.2</v>
      </c>
      <c r="I214">
        <v>1.35</v>
      </c>
      <c r="L214" s="21"/>
      <c r="M214" s="21"/>
    </row>
    <row r="215" spans="1:13">
      <c r="B215" t="s">
        <v>724</v>
      </c>
      <c r="H215">
        <f>(H212+H213*3)*H214*I214</f>
        <v>0.10044</v>
      </c>
      <c r="L215" s="21"/>
      <c r="M215" s="21"/>
    </row>
    <row r="216" spans="1:13" ht="11.25" customHeight="1">
      <c r="L216" s="21"/>
      <c r="M216" s="21"/>
    </row>
    <row r="217" spans="1:13" ht="11.25" customHeight="1" thickBot="1">
      <c r="A217" t="s">
        <v>216</v>
      </c>
      <c r="L217" s="21"/>
      <c r="M217" s="21"/>
    </row>
    <row r="218" spans="1:13" ht="11.25" customHeight="1">
      <c r="B218" s="95" t="s">
        <v>135</v>
      </c>
      <c r="C218" s="118"/>
      <c r="D218" s="96"/>
      <c r="E218" s="103" t="s">
        <v>187</v>
      </c>
      <c r="F218" s="91" t="s">
        <v>88</v>
      </c>
      <c r="G218" s="91" t="s">
        <v>189</v>
      </c>
      <c r="L218" s="21"/>
      <c r="M218" s="21"/>
    </row>
    <row r="219" spans="1:13" ht="11.25" customHeight="1">
      <c r="B219" s="97" t="s">
        <v>74</v>
      </c>
      <c r="C219" s="83"/>
      <c r="D219" s="98"/>
      <c r="E219" s="93" t="s">
        <v>188</v>
      </c>
      <c r="F219" s="94" t="s">
        <v>89</v>
      </c>
      <c r="G219" s="94" t="s">
        <v>208</v>
      </c>
      <c r="L219" s="21"/>
      <c r="M219" s="21"/>
    </row>
    <row r="220" spans="1:13" ht="11.25" customHeight="1">
      <c r="B220" s="97"/>
      <c r="C220" s="83"/>
      <c r="D220" s="98"/>
      <c r="E220" s="94" t="s">
        <v>153</v>
      </c>
      <c r="F220" s="94"/>
      <c r="G220" s="6" t="s">
        <v>197</v>
      </c>
      <c r="L220" s="21"/>
      <c r="M220" s="21"/>
    </row>
    <row r="221" spans="1:13" ht="11.25" customHeight="1" thickBot="1">
      <c r="B221" s="104"/>
      <c r="C221" s="119"/>
      <c r="D221" s="105"/>
      <c r="E221" s="92" t="s">
        <v>154</v>
      </c>
      <c r="F221" s="92"/>
      <c r="G221" s="9" t="s">
        <v>198</v>
      </c>
      <c r="L221" s="21"/>
      <c r="M221" s="21"/>
    </row>
    <row r="222" spans="1:13" ht="11.25" customHeight="1">
      <c r="A222" s="45" t="s">
        <v>77</v>
      </c>
      <c r="B222" s="406" t="s">
        <v>201</v>
      </c>
      <c r="C222" s="407"/>
      <c r="D222" s="408"/>
      <c r="E222" s="106">
        <v>0.16</v>
      </c>
      <c r="F222" s="51">
        <f>F77</f>
        <v>950</v>
      </c>
      <c r="G222" s="113">
        <f>E222*F222/10</f>
        <v>15.2</v>
      </c>
      <c r="L222" s="21"/>
      <c r="M222" s="21"/>
    </row>
    <row r="223" spans="1:13" ht="11.25" customHeight="1">
      <c r="A223" s="45" t="s">
        <v>79</v>
      </c>
      <c r="B223" s="409" t="s">
        <v>202</v>
      </c>
      <c r="C223" s="410"/>
      <c r="D223" s="411"/>
      <c r="E223" s="106">
        <v>0.08</v>
      </c>
      <c r="F223" s="51">
        <f>F78</f>
        <v>245</v>
      </c>
      <c r="G223" s="113">
        <f>E223*F223/10</f>
        <v>1.9600000000000002</v>
      </c>
      <c r="L223" s="21"/>
      <c r="M223" s="21"/>
    </row>
    <row r="224" spans="1:13" ht="11.25" customHeight="1">
      <c r="A224" s="45" t="s">
        <v>133</v>
      </c>
      <c r="B224" s="409" t="s">
        <v>203</v>
      </c>
      <c r="C224" s="410"/>
      <c r="D224" s="411"/>
      <c r="E224" s="106">
        <v>0.16</v>
      </c>
      <c r="F224" s="51">
        <f>F79</f>
        <v>220</v>
      </c>
      <c r="G224" s="113">
        <f>E224*F224/10</f>
        <v>3.5200000000000005</v>
      </c>
      <c r="L224" s="21"/>
      <c r="M224" s="21"/>
    </row>
    <row r="225" spans="1:13" ht="11.25" customHeight="1">
      <c r="A225" s="77"/>
      <c r="B225" s="114"/>
      <c r="C225" s="117"/>
      <c r="D225" s="108"/>
      <c r="E225" s="115"/>
      <c r="F225" s="115"/>
      <c r="G225" s="116">
        <f>SUM(G222:G224)</f>
        <v>20.68</v>
      </c>
      <c r="L225" s="21"/>
      <c r="M225" s="21"/>
    </row>
    <row r="226" spans="1:13" ht="11.25" customHeight="1">
      <c r="L226" s="21"/>
      <c r="M226" s="21"/>
    </row>
    <row r="227" spans="1:13" ht="13.5" thickBot="1">
      <c r="A227" s="71" t="s">
        <v>716</v>
      </c>
      <c r="B227" s="46"/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281"/>
    </row>
    <row r="228" spans="1:13" ht="13.5" thickBot="1">
      <c r="A228" s="146"/>
      <c r="B228" s="322" t="s">
        <v>103</v>
      </c>
      <c r="C228" s="134" t="s">
        <v>617</v>
      </c>
      <c r="D228" s="321" t="s">
        <v>108</v>
      </c>
      <c r="E228" s="423" t="s">
        <v>111</v>
      </c>
      <c r="F228" s="424"/>
      <c r="G228" s="424"/>
      <c r="H228" s="424"/>
      <c r="I228" s="424"/>
      <c r="J228" s="424"/>
      <c r="K228" s="425"/>
      <c r="L228" s="321" t="s">
        <v>124</v>
      </c>
    </row>
    <row r="229" spans="1:13">
      <c r="A229" s="145"/>
      <c r="B229" s="323" t="s">
        <v>104</v>
      </c>
      <c r="C229" s="65" t="s">
        <v>717</v>
      </c>
      <c r="D229" s="325" t="s">
        <v>109</v>
      </c>
      <c r="E229" s="318" t="s">
        <v>114</v>
      </c>
      <c r="F229" s="318" t="s">
        <v>112</v>
      </c>
      <c r="G229" s="318" t="s">
        <v>113</v>
      </c>
      <c r="H229" s="318" t="s">
        <v>116</v>
      </c>
      <c r="I229" s="30" t="s">
        <v>118</v>
      </c>
      <c r="J229" s="327"/>
      <c r="K229" s="318" t="s">
        <v>121</v>
      </c>
      <c r="L229" s="145" t="s">
        <v>125</v>
      </c>
    </row>
    <row r="230" spans="1:13">
      <c r="A230" s="145"/>
      <c r="B230" s="323" t="s">
        <v>105</v>
      </c>
      <c r="C230" s="65"/>
      <c r="D230" s="325" t="s">
        <v>718</v>
      </c>
      <c r="E230" s="318" t="s">
        <v>115</v>
      </c>
      <c r="F230" s="318" t="s">
        <v>123</v>
      </c>
      <c r="G230" s="318"/>
      <c r="H230" s="318" t="s">
        <v>117</v>
      </c>
      <c r="I230" s="30" t="s">
        <v>720</v>
      </c>
      <c r="J230" s="327"/>
      <c r="K230" s="318" t="s">
        <v>122</v>
      </c>
      <c r="L230" s="145" t="s">
        <v>127</v>
      </c>
    </row>
    <row r="231" spans="1:13" ht="13.5" thickBot="1">
      <c r="A231" s="283"/>
      <c r="B231" s="324" t="s">
        <v>106</v>
      </c>
      <c r="C231" s="54"/>
      <c r="D231" s="326" t="s">
        <v>146</v>
      </c>
      <c r="E231" s="319"/>
      <c r="F231" s="319"/>
      <c r="G231" s="320">
        <f ca="1">Исх.данные!F51</f>
        <v>0.30199999999999999</v>
      </c>
      <c r="H231" s="320">
        <f ca="1">Исх.данные!F52</f>
        <v>0.89800000000000002</v>
      </c>
      <c r="I231" s="31"/>
      <c r="J231" s="328"/>
      <c r="K231" s="319" t="s">
        <v>75</v>
      </c>
      <c r="L231" s="283"/>
    </row>
    <row r="232" spans="1:13">
      <c r="A232" s="46" t="s">
        <v>16</v>
      </c>
      <c r="B232" s="46">
        <f ca="1">Исх.данные!C8</f>
        <v>2595.5</v>
      </c>
      <c r="C232" s="289">
        <f ca="1">Исх.данные!C12</f>
        <v>817.1618000000002</v>
      </c>
      <c r="D232" s="46">
        <f ca="1">H215*C232</f>
        <v>82.075731192000021</v>
      </c>
      <c r="E232" s="46">
        <f ca="1">Исх.данные!F54</f>
        <v>1.1200000000000001</v>
      </c>
      <c r="F232" s="46">
        <f>M209*D232*E232</f>
        <v>3914.8537774116539</v>
      </c>
      <c r="G232" s="274">
        <f>F232*G231</f>
        <v>1182.2858407783194</v>
      </c>
      <c r="H232" s="274">
        <f>H231*G232</f>
        <v>1061.6926850189309</v>
      </c>
      <c r="I232" s="274">
        <f>C232*G225/10000</f>
        <v>1.6898906024000004</v>
      </c>
      <c r="J232" s="46"/>
      <c r="K232" s="274">
        <f>SUM(F232:J232)</f>
        <v>6160.5221938113045</v>
      </c>
      <c r="L232" s="21">
        <f>K232/12/B232</f>
        <v>0.19779497186833955</v>
      </c>
    </row>
    <row r="233" spans="1:13">
      <c r="A233" s="46" t="s">
        <v>28</v>
      </c>
      <c r="B233" s="46">
        <f ca="1">B232</f>
        <v>2595.5</v>
      </c>
      <c r="C233" s="289">
        <f ca="1">Исх.данные!D12</f>
        <v>817.1618000000002</v>
      </c>
      <c r="D233" s="46">
        <f ca="1">H215*C233</f>
        <v>82.075731192000021</v>
      </c>
      <c r="E233" s="46">
        <f ca="1">E232</f>
        <v>1.1200000000000001</v>
      </c>
      <c r="F233" s="46">
        <f>M209*D233*E233</f>
        <v>3914.8537774116539</v>
      </c>
      <c r="G233" s="274">
        <f>F233*G231</f>
        <v>1182.2858407783194</v>
      </c>
      <c r="H233" s="274">
        <f>H231*G233</f>
        <v>1061.6926850189309</v>
      </c>
      <c r="I233" s="274">
        <f>C233*G225/10000</f>
        <v>1.6898906024000004</v>
      </c>
      <c r="J233" s="46"/>
      <c r="K233" s="274">
        <f>SUM(F233:J233)</f>
        <v>6160.5221938113045</v>
      </c>
      <c r="L233" s="21">
        <f>K233/12/B233</f>
        <v>0.19779497186833955</v>
      </c>
    </row>
    <row r="234" spans="1:13">
      <c r="A234" s="41" t="s">
        <v>175</v>
      </c>
      <c r="B234">
        <f ca="1">Исх.данные!L8</f>
        <v>1291.4000000000001</v>
      </c>
      <c r="C234" s="74">
        <f ca="1">Исх.данные!L12</f>
        <v>848.6400000000001</v>
      </c>
      <c r="D234">
        <f ca="1">H215*C234</f>
        <v>85.237401600000013</v>
      </c>
      <c r="E234">
        <f ca="1">E232</f>
        <v>1.1200000000000001</v>
      </c>
      <c r="F234" s="46">
        <f>M209*D234*E234</f>
        <v>4065.6593463652184</v>
      </c>
      <c r="G234" s="274">
        <f>F234*G231</f>
        <v>1227.8291226022959</v>
      </c>
      <c r="H234" s="274">
        <f>H231*G234</f>
        <v>1102.5905520968618</v>
      </c>
      <c r="I234" s="274">
        <f>C234*G225/10000</f>
        <v>1.7549875200000002</v>
      </c>
      <c r="K234" s="274">
        <f>SUM(F234:J234)</f>
        <v>6397.8340085843765</v>
      </c>
      <c r="L234" s="21">
        <f>K234/12/B234</f>
        <v>0.41284871770845444</v>
      </c>
    </row>
    <row r="235" spans="1:13">
      <c r="A235" s="75"/>
    </row>
    <row r="237" spans="1:13">
      <c r="A237" s="75" t="s">
        <v>624</v>
      </c>
      <c r="B237" s="75"/>
    </row>
    <row r="238" spans="1:13">
      <c r="A238" s="279"/>
      <c r="B238" s="280"/>
      <c r="C238" s="26"/>
      <c r="D238" s="26"/>
      <c r="E238" s="26"/>
      <c r="F238" s="26"/>
      <c r="G238" s="26"/>
      <c r="H238" s="26"/>
      <c r="I238" s="26"/>
      <c r="J238" s="26"/>
      <c r="K238" s="26"/>
    </row>
    <row r="239" spans="1:13">
      <c r="A239" t="s">
        <v>177</v>
      </c>
    </row>
    <row r="240" spans="1:13">
      <c r="A240" t="s">
        <v>126</v>
      </c>
      <c r="L240">
        <v>1</v>
      </c>
      <c r="M240" s="74">
        <v>1</v>
      </c>
    </row>
    <row r="241" spans="1:13">
      <c r="A241" t="str">
        <f>A189</f>
        <v>Часовая ставка 1 разряда (руб/час)</v>
      </c>
      <c r="L241" s="21"/>
      <c r="M241" s="21">
        <f>M189</f>
        <v>42.587560386473434</v>
      </c>
    </row>
    <row r="242" spans="1:13">
      <c r="A242" s="26" t="s">
        <v>621</v>
      </c>
      <c r="B242" s="26"/>
      <c r="C242" s="26"/>
      <c r="D242" s="26"/>
      <c r="L242" s="21"/>
      <c r="M242" s="21"/>
    </row>
    <row r="243" spans="1:13">
      <c r="A243" s="26"/>
      <c r="B243" s="26" t="s">
        <v>647</v>
      </c>
      <c r="C243" s="26"/>
      <c r="D243" s="26"/>
      <c r="E243" s="26"/>
      <c r="F243" s="26"/>
      <c r="G243" s="26"/>
      <c r="H243" s="26">
        <v>0.36</v>
      </c>
      <c r="I243" s="26" t="s">
        <v>622</v>
      </c>
      <c r="J243" s="26"/>
      <c r="K243" s="26"/>
    </row>
    <row r="244" spans="1:13">
      <c r="B244" s="26" t="s">
        <v>623</v>
      </c>
      <c r="C244" s="26"/>
      <c r="D244" s="26"/>
      <c r="E244" s="26"/>
      <c r="F244" s="26"/>
      <c r="G244" s="26"/>
      <c r="H244" s="26">
        <v>0.16</v>
      </c>
      <c r="I244" s="26" t="s">
        <v>622</v>
      </c>
    </row>
    <row r="245" spans="1:13">
      <c r="A245" t="s">
        <v>625</v>
      </c>
      <c r="F245">
        <v>5450</v>
      </c>
      <c r="G245" t="s">
        <v>239</v>
      </c>
      <c r="H245" t="s">
        <v>626</v>
      </c>
      <c r="J245">
        <v>5</v>
      </c>
      <c r="K245" t="s">
        <v>627</v>
      </c>
    </row>
    <row r="246" spans="1:13">
      <c r="A246" t="s">
        <v>628</v>
      </c>
      <c r="E246" t="s">
        <v>629</v>
      </c>
      <c r="H246">
        <f>20*2*8*0.65</f>
        <v>208</v>
      </c>
      <c r="I246" t="s">
        <v>630</v>
      </c>
    </row>
    <row r="247" spans="1:13">
      <c r="A247" t="s">
        <v>631</v>
      </c>
      <c r="F247" s="21">
        <f>F245/5/H246</f>
        <v>5.240384615384615</v>
      </c>
      <c r="G247" t="s">
        <v>632</v>
      </c>
    </row>
    <row r="248" spans="1:13">
      <c r="A248" t="s">
        <v>633</v>
      </c>
      <c r="D248">
        <v>710</v>
      </c>
      <c r="E248" t="s">
        <v>644</v>
      </c>
      <c r="F248" t="s">
        <v>645</v>
      </c>
      <c r="G248" t="s">
        <v>646</v>
      </c>
      <c r="I248" t="s">
        <v>634</v>
      </c>
      <c r="L248">
        <v>30</v>
      </c>
      <c r="M248" t="s">
        <v>635</v>
      </c>
    </row>
    <row r="250" spans="1:13" ht="13.5" thickBot="1">
      <c r="A250" s="71" t="s">
        <v>636</v>
      </c>
      <c r="B250" s="46"/>
    </row>
    <row r="251" spans="1:13" ht="13.5" thickBot="1">
      <c r="A251" s="15" t="s">
        <v>71</v>
      </c>
      <c r="B251" s="15" t="s">
        <v>103</v>
      </c>
      <c r="C251" s="15" t="s">
        <v>637</v>
      </c>
      <c r="D251" s="15" t="s">
        <v>108</v>
      </c>
      <c r="E251" s="375" t="s">
        <v>111</v>
      </c>
      <c r="F251" s="376"/>
      <c r="G251" s="376"/>
      <c r="H251" s="376"/>
      <c r="I251" s="376"/>
      <c r="J251" s="376"/>
      <c r="K251" s="376"/>
      <c r="L251" s="377"/>
      <c r="M251" s="15" t="s">
        <v>124</v>
      </c>
    </row>
    <row r="252" spans="1:13">
      <c r="A252" s="6" t="s">
        <v>102</v>
      </c>
      <c r="B252" s="6" t="s">
        <v>104</v>
      </c>
      <c r="C252" s="6" t="s">
        <v>638</v>
      </c>
      <c r="D252" s="6" t="s">
        <v>109</v>
      </c>
      <c r="E252" s="15" t="s">
        <v>114</v>
      </c>
      <c r="F252" s="15" t="s">
        <v>112</v>
      </c>
      <c r="G252" s="15" t="s">
        <v>112</v>
      </c>
      <c r="H252" s="15" t="s">
        <v>113</v>
      </c>
      <c r="I252" s="15" t="s">
        <v>116</v>
      </c>
      <c r="J252" s="15" t="s">
        <v>639</v>
      </c>
      <c r="K252" s="146" t="s">
        <v>642</v>
      </c>
      <c r="L252" s="15" t="s">
        <v>121</v>
      </c>
      <c r="M252" s="6" t="s">
        <v>125</v>
      </c>
    </row>
    <row r="253" spans="1:13">
      <c r="A253" s="6"/>
      <c r="B253" s="6" t="s">
        <v>105</v>
      </c>
      <c r="C253" s="6"/>
      <c r="D253" s="6" t="s">
        <v>110</v>
      </c>
      <c r="E253" s="6" t="s">
        <v>115</v>
      </c>
      <c r="F253" s="6"/>
      <c r="G253" s="6" t="s">
        <v>123</v>
      </c>
      <c r="H253" s="6"/>
      <c r="I253" s="6" t="s">
        <v>117</v>
      </c>
      <c r="J253" s="6" t="s">
        <v>640</v>
      </c>
      <c r="K253" s="6" t="s">
        <v>643</v>
      </c>
      <c r="L253" s="6" t="s">
        <v>122</v>
      </c>
      <c r="M253" s="6" t="s">
        <v>127</v>
      </c>
    </row>
    <row r="254" spans="1:13" ht="13.5" thickBot="1">
      <c r="A254" s="9"/>
      <c r="B254" s="9" t="s">
        <v>106</v>
      </c>
      <c r="C254" s="9"/>
      <c r="D254" s="9"/>
      <c r="E254" s="9"/>
      <c r="F254" s="9"/>
      <c r="G254" s="9"/>
      <c r="H254" s="73">
        <f ca="1">Исх.данные!F51</f>
        <v>0.30199999999999999</v>
      </c>
      <c r="I254" s="73">
        <f ca="1">Исх.данные!F52</f>
        <v>0.89800000000000002</v>
      </c>
      <c r="J254" s="9" t="s">
        <v>641</v>
      </c>
      <c r="K254" s="9"/>
      <c r="L254" s="9" t="s">
        <v>75</v>
      </c>
      <c r="M254" s="9"/>
    </row>
    <row r="255" spans="1:13">
      <c r="A255" t="s">
        <v>16</v>
      </c>
      <c r="B255" s="74">
        <f ca="1">Исх.данные!C8</f>
        <v>2595.5</v>
      </c>
      <c r="C255">
        <f ca="1">Исх.данные!C26</f>
        <v>1300</v>
      </c>
      <c r="D255" s="144">
        <f ca="1">C255*(H243+H244)/100*2*0.7</f>
        <v>9.4639999999999986</v>
      </c>
      <c r="E255" s="281">
        <f ca="1">Исх.данные!F54</f>
        <v>1.1200000000000001</v>
      </c>
      <c r="F255" s="21">
        <f>D255*M241</f>
        <v>403.04867149758451</v>
      </c>
      <c r="G255" s="21">
        <f t="shared" ref="G255:G260" si="23">F255*E255</f>
        <v>451.41451207729472</v>
      </c>
      <c r="H255" s="21">
        <f>G255*H254</f>
        <v>136.32718264734299</v>
      </c>
      <c r="I255" s="21">
        <f>G255*I254</f>
        <v>405.37023184541067</v>
      </c>
      <c r="J255" s="21">
        <f>C255*H243/100*2*F247*0.7</f>
        <v>34.334999999999994</v>
      </c>
      <c r="K255" s="21">
        <f>B255/100*H243*2*D248/1000*0.75*L248*0.7</f>
        <v>208.97408699999997</v>
      </c>
      <c r="L255" s="21">
        <f t="shared" ref="L255:L260" si="24">SUM(F255:K255)</f>
        <v>1639.4696850676328</v>
      </c>
      <c r="M255" s="21">
        <f t="shared" ref="M255:M260" si="25">L255/B255/12</f>
        <v>5.2638209884660399E-2</v>
      </c>
    </row>
    <row r="256" spans="1:13">
      <c r="A256" t="s">
        <v>28</v>
      </c>
      <c r="B256" s="74">
        <f ca="1">Исх.данные!D8</f>
        <v>2595.5</v>
      </c>
      <c r="C256">
        <f ca="1">Исх.данные!D26</f>
        <v>1300</v>
      </c>
      <c r="D256" s="144">
        <f ca="1">C256*(H243+H244)*2/100*0.7</f>
        <v>9.4639999999999986</v>
      </c>
      <c r="E256" s="281">
        <f ca="1">Исх.данные!F54</f>
        <v>1.1200000000000001</v>
      </c>
      <c r="F256" s="21">
        <f>D256*M241</f>
        <v>403.04867149758451</v>
      </c>
      <c r="G256" s="21">
        <f t="shared" si="23"/>
        <v>451.41451207729472</v>
      </c>
      <c r="H256" s="21">
        <f>G256*H254</f>
        <v>136.32718264734299</v>
      </c>
      <c r="I256" s="21">
        <f>G256*I254</f>
        <v>405.37023184541067</v>
      </c>
      <c r="J256" s="21">
        <f>C256*H243/100*2*F247*0.7</f>
        <v>34.334999999999994</v>
      </c>
      <c r="K256" s="21">
        <f>B256/100*H243*2*D248/1000*0.75*L248*0.7</f>
        <v>208.97408699999997</v>
      </c>
      <c r="L256" s="21">
        <f t="shared" si="24"/>
        <v>1639.4696850676328</v>
      </c>
      <c r="M256" s="21">
        <f t="shared" si="25"/>
        <v>5.2638209884660399E-2</v>
      </c>
    </row>
    <row r="257" spans="1:13">
      <c r="A257" t="s">
        <v>36</v>
      </c>
      <c r="B257" s="74">
        <f ca="1">Исх.данные!E8</f>
        <v>7735.2</v>
      </c>
      <c r="C257">
        <f ca="1">Исх.данные!E26</f>
        <v>5765</v>
      </c>
      <c r="D257" s="144">
        <f ca="1">C257*(H243+H244)*2/100*0.7</f>
        <v>41.969200000000001</v>
      </c>
      <c r="E257" s="281">
        <f ca="1">Исх.данные!F54</f>
        <v>1.1200000000000001</v>
      </c>
      <c r="F257" s="21">
        <f>D257*M241</f>
        <v>1787.3658393719809</v>
      </c>
      <c r="G257" s="21">
        <f t="shared" si="23"/>
        <v>2001.8497400966187</v>
      </c>
      <c r="H257" s="21">
        <f>G257*H254</f>
        <v>604.55862150917881</v>
      </c>
      <c r="I257" s="21">
        <f>G257*I254</f>
        <v>1797.6610666067636</v>
      </c>
      <c r="J257" s="21">
        <f>C257*H243/100*2*F247*0.7</f>
        <v>152.26251923076921</v>
      </c>
      <c r="K257" s="21">
        <f>B257/100*H243*2*D248/1000*0.75*L248*0.7</f>
        <v>622.79189280000003</v>
      </c>
      <c r="L257" s="21">
        <f t="shared" si="24"/>
        <v>6966.4896796153116</v>
      </c>
      <c r="M257" s="21">
        <f t="shared" si="25"/>
        <v>7.5051815936835423E-2</v>
      </c>
    </row>
    <row r="258" spans="1:13">
      <c r="A258" t="s">
        <v>39</v>
      </c>
      <c r="B258" s="74">
        <f ca="1">Исх.данные!F8</f>
        <v>7735.2</v>
      </c>
      <c r="C258">
        <f ca="1">Исх.данные!F26</f>
        <v>5765</v>
      </c>
      <c r="D258" s="144">
        <f ca="1">C258*(H243+H244)*2/100*0.7</f>
        <v>41.969200000000001</v>
      </c>
      <c r="E258" s="281">
        <f ca="1">Исх.данные!F54</f>
        <v>1.1200000000000001</v>
      </c>
      <c r="F258" s="21">
        <f>D258*M241</f>
        <v>1787.3658393719809</v>
      </c>
      <c r="G258" s="21">
        <f t="shared" si="23"/>
        <v>2001.8497400966187</v>
      </c>
      <c r="H258" s="21">
        <f>G258*H254</f>
        <v>604.55862150917881</v>
      </c>
      <c r="I258" s="21">
        <f>G258*I254</f>
        <v>1797.6610666067636</v>
      </c>
      <c r="J258" s="21">
        <f>C258*H243/100*2*F247*0.7</f>
        <v>152.26251923076921</v>
      </c>
      <c r="K258" s="21">
        <f>B258/100*H243*2*D248/1000*0.75*L248*0.7</f>
        <v>622.79189280000003</v>
      </c>
      <c r="L258" s="21">
        <f t="shared" si="24"/>
        <v>6966.4896796153116</v>
      </c>
      <c r="M258" s="21">
        <f t="shared" si="25"/>
        <v>7.5051815936835423E-2</v>
      </c>
    </row>
    <row r="259" spans="1:13">
      <c r="A259" t="s">
        <v>64</v>
      </c>
      <c r="B259" s="74">
        <f ca="1">Исх.данные!G8</f>
        <v>7735.2</v>
      </c>
      <c r="C259">
        <f ca="1">Исх.данные!G26</f>
        <v>5765</v>
      </c>
      <c r="D259" s="144">
        <f ca="1">C259*(H243+H244)*2/100*0.7</f>
        <v>41.969200000000001</v>
      </c>
      <c r="E259" s="281">
        <f ca="1">Исх.данные!F54</f>
        <v>1.1200000000000001</v>
      </c>
      <c r="F259" s="21">
        <f>D259*M241</f>
        <v>1787.3658393719809</v>
      </c>
      <c r="G259" s="21">
        <f t="shared" si="23"/>
        <v>2001.8497400966187</v>
      </c>
      <c r="H259" s="21">
        <f>G259*H254</f>
        <v>604.55862150917881</v>
      </c>
      <c r="I259" s="21">
        <f>G259*I254</f>
        <v>1797.6610666067636</v>
      </c>
      <c r="J259" s="21">
        <f>C259*H243/100*2*F247*0.7</f>
        <v>152.26251923076921</v>
      </c>
      <c r="K259" s="21">
        <f>B259/100*H243*2*D248/1000*0.75*L248*0.7</f>
        <v>622.79189280000003</v>
      </c>
      <c r="L259" s="21">
        <f t="shared" si="24"/>
        <v>6966.4896796153116</v>
      </c>
      <c r="M259" s="21">
        <f t="shared" si="25"/>
        <v>7.5051815936835423E-2</v>
      </c>
    </row>
    <row r="260" spans="1:13">
      <c r="A260" t="s">
        <v>175</v>
      </c>
      <c r="B260" s="74">
        <f ca="1">Исх.данные!L8</f>
        <v>1291.4000000000001</v>
      </c>
      <c r="C260">
        <f ca="1">Исх.данные!L26</f>
        <v>650</v>
      </c>
      <c r="D260" s="144">
        <f ca="1">C260*(H243+H244)*2/100*0.7</f>
        <v>4.7319999999999993</v>
      </c>
      <c r="E260" s="281">
        <f ca="1">Исх.данные!F54</f>
        <v>1.1200000000000001</v>
      </c>
      <c r="F260" s="21">
        <f>D260*M241</f>
        <v>201.52433574879225</v>
      </c>
      <c r="G260" s="21">
        <f t="shared" si="23"/>
        <v>225.70725603864736</v>
      </c>
      <c r="H260" s="21">
        <f>G260*H254</f>
        <v>68.163591323671497</v>
      </c>
      <c r="I260" s="21">
        <f>G260*I254</f>
        <v>202.68511592270534</v>
      </c>
      <c r="J260" s="21">
        <f>C260*H243/100*2*F247*0.7</f>
        <v>17.167499999999997</v>
      </c>
      <c r="K260" s="21">
        <f>B260/100*H243*2*D248/1000*0.75*L248*0.7</f>
        <v>103.97577960000001</v>
      </c>
      <c r="L260" s="21">
        <f t="shared" si="24"/>
        <v>819.22357863381637</v>
      </c>
      <c r="M260" s="21">
        <f t="shared" si="25"/>
        <v>5.2864047973376203E-2</v>
      </c>
    </row>
  </sheetData>
  <mergeCells count="40">
    <mergeCell ref="B82:D82"/>
    <mergeCell ref="E23:K23"/>
    <mergeCell ref="B45:D45"/>
    <mergeCell ref="E86:K86"/>
    <mergeCell ref="B111:D111"/>
    <mergeCell ref="B46:D46"/>
    <mergeCell ref="E54:K54"/>
    <mergeCell ref="H168:I168"/>
    <mergeCell ref="E251:L251"/>
    <mergeCell ref="E228:K228"/>
    <mergeCell ref="B223:D223"/>
    <mergeCell ref="B224:D224"/>
    <mergeCell ref="D198:L198"/>
    <mergeCell ref="B81:D81"/>
    <mergeCell ref="B140:D140"/>
    <mergeCell ref="B113:D113"/>
    <mergeCell ref="A194:F194"/>
    <mergeCell ref="B78:D78"/>
    <mergeCell ref="B222:D222"/>
    <mergeCell ref="B112:D112"/>
    <mergeCell ref="B79:D79"/>
    <mergeCell ref="B80:D80"/>
    <mergeCell ref="B110:D110"/>
    <mergeCell ref="B77:D77"/>
    <mergeCell ref="B19:D19"/>
    <mergeCell ref="B47:D47"/>
    <mergeCell ref="B170:D170"/>
    <mergeCell ref="E118:K118"/>
    <mergeCell ref="B114:D114"/>
    <mergeCell ref="H166:I166"/>
    <mergeCell ref="H167:I167"/>
    <mergeCell ref="B48:D48"/>
    <mergeCell ref="B109:D109"/>
    <mergeCell ref="B14:D14"/>
    <mergeCell ref="B15:D15"/>
    <mergeCell ref="B16:D16"/>
    <mergeCell ref="B17:D17"/>
    <mergeCell ref="B18:D18"/>
    <mergeCell ref="B50:D50"/>
    <mergeCell ref="B49:D49"/>
  </mergeCells>
  <phoneticPr fontId="5" type="noConversion"/>
  <pageMargins left="0.45" right="0.4" top="0.4" bottom="0.42" header="0.28999999999999998" footer="0.28000000000000003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opLeftCell="A16" workbookViewId="0">
      <selection activeCell="H12" sqref="H12"/>
    </sheetView>
  </sheetViews>
  <sheetFormatPr defaultRowHeight="12.75"/>
  <cols>
    <col min="1" max="1" width="8.85546875" customWidth="1"/>
    <col min="2" max="2" width="6.5703125" customWidth="1"/>
    <col min="3" max="3" width="15.140625" customWidth="1"/>
    <col min="4" max="4" width="5.7109375" bestFit="1" customWidth="1"/>
    <col min="8" max="8" width="8.7109375" customWidth="1"/>
    <col min="9" max="9" width="11.140625" customWidth="1"/>
    <col min="10" max="10" width="6" bestFit="1" customWidth="1"/>
    <col min="11" max="11" width="6" customWidth="1"/>
    <col min="12" max="12" width="7.28515625" customWidth="1"/>
    <col min="13" max="13" width="7.28515625" bestFit="1" customWidth="1"/>
    <col min="14" max="15" width="7.28515625" customWidth="1"/>
    <col min="17" max="17" width="10.7109375" bestFit="1" customWidth="1"/>
  </cols>
  <sheetData>
    <row r="1" spans="1:18">
      <c r="A1" t="s">
        <v>331</v>
      </c>
    </row>
    <row r="2" spans="1:18" ht="13.5" thickBot="1"/>
    <row r="3" spans="1:18" ht="13.5" thickBot="1">
      <c r="A3" s="15" t="s">
        <v>332</v>
      </c>
      <c r="B3" s="15" t="s">
        <v>333</v>
      </c>
      <c r="C3" s="376" t="s">
        <v>334</v>
      </c>
      <c r="D3" s="376"/>
      <c r="E3" s="376"/>
      <c r="F3" s="376"/>
      <c r="G3" s="376"/>
      <c r="H3" s="12" t="s">
        <v>335</v>
      </c>
      <c r="I3" s="376" t="s">
        <v>336</v>
      </c>
      <c r="J3" s="376"/>
      <c r="K3" s="376"/>
      <c r="L3" s="377"/>
      <c r="M3" s="15" t="s">
        <v>337</v>
      </c>
      <c r="N3" s="29" t="s">
        <v>338</v>
      </c>
      <c r="O3" s="15" t="s">
        <v>339</v>
      </c>
      <c r="P3" s="375" t="s">
        <v>340</v>
      </c>
      <c r="Q3" s="377"/>
    </row>
    <row r="4" spans="1:18">
      <c r="A4" s="6" t="s">
        <v>341</v>
      </c>
      <c r="B4" s="6" t="s">
        <v>342</v>
      </c>
      <c r="C4" s="12" t="s">
        <v>343</v>
      </c>
      <c r="D4" s="12" t="s">
        <v>344</v>
      </c>
      <c r="E4" s="12" t="s">
        <v>345</v>
      </c>
      <c r="F4" s="12" t="s">
        <v>346</v>
      </c>
      <c r="G4" s="10" t="s">
        <v>112</v>
      </c>
      <c r="H4" s="20" t="s">
        <v>347</v>
      </c>
      <c r="I4" s="28" t="s">
        <v>348</v>
      </c>
      <c r="J4" s="162" t="s">
        <v>349</v>
      </c>
      <c r="K4" s="162" t="s">
        <v>350</v>
      </c>
      <c r="L4" s="162" t="s">
        <v>351</v>
      </c>
      <c r="M4" s="20" t="s">
        <v>352</v>
      </c>
      <c r="N4" s="20" t="s">
        <v>353</v>
      </c>
      <c r="O4" s="20" t="s">
        <v>354</v>
      </c>
      <c r="P4" s="162" t="s">
        <v>355</v>
      </c>
      <c r="Q4" s="162" t="s">
        <v>356</v>
      </c>
    </row>
    <row r="5" spans="1:18">
      <c r="A5" s="6"/>
      <c r="B5" s="6" t="s">
        <v>357</v>
      </c>
      <c r="C5" s="7" t="s">
        <v>358</v>
      </c>
      <c r="D5" s="7" t="s">
        <v>359</v>
      </c>
      <c r="E5" s="7" t="s">
        <v>360</v>
      </c>
      <c r="F5" s="7" t="s">
        <v>361</v>
      </c>
      <c r="G5" s="4" t="s">
        <v>362</v>
      </c>
      <c r="H5" s="20" t="s">
        <v>342</v>
      </c>
      <c r="I5" s="163" t="s">
        <v>341</v>
      </c>
      <c r="J5" s="20" t="s">
        <v>89</v>
      </c>
      <c r="K5" s="20" t="s">
        <v>363</v>
      </c>
      <c r="L5" s="20" t="s">
        <v>364</v>
      </c>
      <c r="M5" s="20" t="s">
        <v>350</v>
      </c>
      <c r="N5" s="20" t="s">
        <v>365</v>
      </c>
      <c r="O5" s="20" t="s">
        <v>106</v>
      </c>
      <c r="P5" s="6"/>
      <c r="Q5" s="20" t="s">
        <v>125</v>
      </c>
    </row>
    <row r="6" spans="1:18">
      <c r="A6" s="6"/>
      <c r="B6" s="6" t="s">
        <v>366</v>
      </c>
      <c r="C6" s="7"/>
      <c r="D6" s="7"/>
      <c r="E6" s="7" t="s">
        <v>365</v>
      </c>
      <c r="F6" s="7" t="s">
        <v>365</v>
      </c>
      <c r="G6" s="4" t="s">
        <v>367</v>
      </c>
      <c r="H6" s="6" t="s">
        <v>368</v>
      </c>
      <c r="I6" s="111"/>
      <c r="J6" s="6" t="s">
        <v>369</v>
      </c>
      <c r="K6" s="6"/>
      <c r="L6" s="6"/>
      <c r="M6" s="6" t="s">
        <v>370</v>
      </c>
      <c r="N6" s="164">
        <v>0.05</v>
      </c>
      <c r="O6" s="145" t="s">
        <v>371</v>
      </c>
      <c r="P6" s="6"/>
      <c r="Q6" s="6" t="s">
        <v>372</v>
      </c>
    </row>
    <row r="7" spans="1:18" ht="13.5" thickBot="1">
      <c r="A7" s="9"/>
      <c r="B7" s="9" t="s">
        <v>373</v>
      </c>
      <c r="C7" s="11"/>
      <c r="D7" s="11"/>
      <c r="E7" s="11"/>
      <c r="F7" s="11" t="s">
        <v>374</v>
      </c>
      <c r="G7" s="131" t="s">
        <v>375</v>
      </c>
      <c r="H7" s="9"/>
      <c r="I7" s="32"/>
      <c r="J7" s="9" t="s">
        <v>376</v>
      </c>
      <c r="K7" s="9"/>
      <c r="L7" s="9"/>
      <c r="M7" s="9"/>
      <c r="N7" s="9"/>
      <c r="O7" s="9"/>
      <c r="P7" s="9"/>
      <c r="Q7" s="9" t="s">
        <v>377</v>
      </c>
    </row>
    <row r="9" spans="1:18">
      <c r="A9" s="76" t="s">
        <v>378</v>
      </c>
      <c r="B9" s="76"/>
      <c r="C9" s="76"/>
    </row>
    <row r="11" spans="1:18" ht="51.75" customHeight="1">
      <c r="A11" s="426" t="s">
        <v>379</v>
      </c>
      <c r="B11" s="426"/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</row>
    <row r="12" spans="1:18">
      <c r="A12" t="s">
        <v>380</v>
      </c>
      <c r="B12" t="s">
        <v>381</v>
      </c>
      <c r="C12" t="s">
        <v>382</v>
      </c>
      <c r="D12" s="1">
        <v>4</v>
      </c>
      <c r="E12" s="1">
        <v>2</v>
      </c>
      <c r="F12" s="1">
        <v>2</v>
      </c>
      <c r="G12" s="165">
        <f>(3410*1.06*1.73*1.45*1.25*1.263*1.12*E12/165)*F12</f>
        <v>388.67068251200004</v>
      </c>
      <c r="H12" s="165">
        <f>[2]Лист2!F46/1000*[2]Лист1!O12</f>
        <v>575.28094101068473</v>
      </c>
      <c r="I12" s="1" t="s">
        <v>383</v>
      </c>
      <c r="J12" s="1">
        <v>400</v>
      </c>
      <c r="K12" s="1">
        <v>1</v>
      </c>
      <c r="L12" s="166">
        <f>J12*K12</f>
        <v>400</v>
      </c>
      <c r="M12" s="165">
        <f>G12*0.9</f>
        <v>349.80361426080003</v>
      </c>
      <c r="N12" s="165">
        <f>(G12+H12+L12)*0.05</f>
        <v>68.197581176134236</v>
      </c>
      <c r="O12" s="1">
        <v>865.2</v>
      </c>
      <c r="P12" s="165">
        <f>SUM(G12,H12,L12:N12)</f>
        <v>1781.952818959619</v>
      </c>
      <c r="Q12" s="165">
        <f>P12/12/O12</f>
        <v>0.17163207148247214</v>
      </c>
      <c r="R12" s="1"/>
    </row>
    <row r="13" spans="1:18">
      <c r="B13" t="s">
        <v>384</v>
      </c>
      <c r="D13" s="1"/>
      <c r="E13" s="1"/>
      <c r="F13" s="1"/>
      <c r="G13" s="165"/>
      <c r="H13" s="165"/>
      <c r="I13" s="1"/>
      <c r="J13" s="1"/>
      <c r="K13" s="1"/>
      <c r="L13" s="166"/>
      <c r="M13" s="165"/>
      <c r="N13" s="165"/>
      <c r="O13" s="1"/>
      <c r="P13" s="1"/>
      <c r="Q13" s="1"/>
      <c r="R13" s="1"/>
    </row>
    <row r="14" spans="1:18">
      <c r="A14" t="s">
        <v>385</v>
      </c>
      <c r="B14" t="s">
        <v>381</v>
      </c>
      <c r="C14" t="s">
        <v>382</v>
      </c>
      <c r="D14" s="1">
        <v>4</v>
      </c>
      <c r="E14" s="1">
        <v>2</v>
      </c>
      <c r="F14" s="1">
        <v>4</v>
      </c>
      <c r="G14" s="165">
        <f>(3410*1.06*1.73*1.45*1.25*1.263*1.12*E14/165)*F14</f>
        <v>777.34136502400008</v>
      </c>
      <c r="H14" s="165">
        <f>[2]Лист2!F46/1000*[2]Лист1!O14</f>
        <v>1998.1903420311021</v>
      </c>
      <c r="I14" s="1" t="s">
        <v>383</v>
      </c>
      <c r="J14" s="1">
        <v>400</v>
      </c>
      <c r="K14" s="1">
        <v>2</v>
      </c>
      <c r="L14" s="166">
        <f>J14*K14</f>
        <v>800</v>
      </c>
      <c r="M14" s="165">
        <f>G14*0.9</f>
        <v>699.60722852160006</v>
      </c>
      <c r="N14" s="165">
        <f>(G14+H14+L14)*0.05</f>
        <v>178.77658535275512</v>
      </c>
      <c r="O14" s="1">
        <v>3005.2</v>
      </c>
      <c r="P14" s="165">
        <f>SUM(G14,H14,L14:N14)</f>
        <v>4453.9155209294577</v>
      </c>
      <c r="Q14" s="165">
        <f>P14/12/O14</f>
        <v>0.12350579886334404</v>
      </c>
      <c r="R14" s="1"/>
    </row>
    <row r="15" spans="1:18">
      <c r="B15" t="s">
        <v>384</v>
      </c>
      <c r="D15" s="1"/>
      <c r="E15" s="1"/>
      <c r="F15" s="1"/>
      <c r="G15" s="165"/>
      <c r="H15" s="165"/>
      <c r="I15" s="1"/>
      <c r="J15" s="1"/>
      <c r="K15" s="1"/>
      <c r="L15" s="166"/>
      <c r="M15" s="165"/>
      <c r="N15" s="165"/>
      <c r="O15" s="1"/>
      <c r="P15" s="1"/>
      <c r="Q15" s="1"/>
      <c r="R15" s="1"/>
    </row>
    <row r="16" spans="1:18">
      <c r="D16" s="1"/>
      <c r="E16" s="1"/>
      <c r="F16" s="1"/>
      <c r="G16" s="165"/>
      <c r="H16" s="165"/>
      <c r="I16" s="1"/>
      <c r="J16" s="1"/>
      <c r="K16" s="1"/>
      <c r="L16" s="166"/>
      <c r="M16" s="165"/>
      <c r="N16" s="165"/>
      <c r="O16" s="1"/>
      <c r="P16" s="1"/>
      <c r="Q16" s="1"/>
      <c r="R16" s="1"/>
    </row>
    <row r="17" spans="1:18">
      <c r="A17" t="s">
        <v>386</v>
      </c>
      <c r="B17" t="s">
        <v>381</v>
      </c>
      <c r="C17" t="s">
        <v>382</v>
      </c>
      <c r="D17" s="1">
        <v>4</v>
      </c>
      <c r="E17" s="1">
        <v>2</v>
      </c>
      <c r="F17" s="1">
        <v>8</v>
      </c>
      <c r="G17" s="165">
        <f>(3410*1.06*1.73*1.45*1.25*1.263*1.12*E17/165)*F17</f>
        <v>1554.6827300480002</v>
      </c>
      <c r="H17" s="165">
        <f>[2]Лист2!F46/1000*[2]Лист1!O17</f>
        <v>5540.0379108888401</v>
      </c>
      <c r="I17" s="1" t="s">
        <v>383</v>
      </c>
      <c r="J17" s="1">
        <v>400</v>
      </c>
      <c r="K17" s="1">
        <v>4</v>
      </c>
      <c r="L17" s="166">
        <f>J17*K17</f>
        <v>1600</v>
      </c>
      <c r="M17" s="165">
        <f>G17*0.9</f>
        <v>1399.2144570432001</v>
      </c>
      <c r="N17" s="165">
        <f>(G17+H17+L17)*0.05</f>
        <v>434.73603204684207</v>
      </c>
      <c r="O17" s="1">
        <v>8332</v>
      </c>
      <c r="P17" s="165">
        <f>SUM(G17,H17,L17:N17)</f>
        <v>10528.671130026882</v>
      </c>
      <c r="Q17" s="165">
        <f>P17/12/O17</f>
        <v>0.10530355986984799</v>
      </c>
      <c r="R17" s="1"/>
    </row>
    <row r="18" spans="1:18">
      <c r="B18" t="s">
        <v>384</v>
      </c>
      <c r="D18" s="1"/>
      <c r="E18" s="1"/>
      <c r="F18" s="1"/>
      <c r="G18" s="165"/>
      <c r="H18" s="165"/>
      <c r="I18" s="1"/>
      <c r="J18" s="1"/>
      <c r="K18" s="1"/>
      <c r="L18" s="165"/>
      <c r="M18" s="165"/>
      <c r="N18" s="165"/>
      <c r="O18" s="1"/>
      <c r="P18" s="1"/>
      <c r="Q18" s="1"/>
      <c r="R18" s="1"/>
    </row>
    <row r="19" spans="1:18">
      <c r="D19" s="1"/>
      <c r="E19" s="1"/>
      <c r="F19" s="1"/>
      <c r="G19" s="165"/>
      <c r="H19" s="165"/>
      <c r="I19" s="1"/>
      <c r="J19" s="1"/>
      <c r="K19" s="1"/>
      <c r="L19" s="165"/>
      <c r="M19" s="165"/>
      <c r="N19" s="165"/>
      <c r="O19" s="1"/>
      <c r="P19" s="1"/>
      <c r="Q19" s="1"/>
      <c r="R19" s="1"/>
    </row>
    <row r="20" spans="1:18">
      <c r="D20" s="1"/>
      <c r="E20" s="1"/>
      <c r="F20" s="1"/>
      <c r="G20" s="165"/>
      <c r="H20" s="165"/>
      <c r="I20" s="1"/>
      <c r="J20" s="1"/>
      <c r="K20" s="1"/>
      <c r="L20" s="165"/>
      <c r="M20" s="165"/>
      <c r="N20" s="165"/>
      <c r="O20" s="1"/>
      <c r="P20" s="1"/>
      <c r="Q20" s="1"/>
      <c r="R20" s="1"/>
    </row>
    <row r="21" spans="1:18">
      <c r="A21" s="76" t="s">
        <v>387</v>
      </c>
      <c r="B21" s="76"/>
      <c r="C21" s="76"/>
      <c r="D21" s="167"/>
      <c r="E21" s="167"/>
      <c r="F21" s="167"/>
      <c r="G21" s="168"/>
      <c r="H21" s="165"/>
      <c r="I21" s="1"/>
      <c r="J21" s="1"/>
      <c r="K21" s="1"/>
      <c r="L21" s="165"/>
      <c r="M21" s="165"/>
      <c r="N21" s="165"/>
      <c r="O21" s="1"/>
      <c r="P21" s="1"/>
      <c r="Q21" s="1"/>
      <c r="R21" s="1"/>
    </row>
    <row r="22" spans="1:18" ht="42" customHeight="1">
      <c r="A22" s="426" t="s">
        <v>582</v>
      </c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O22" s="426"/>
      <c r="P22" s="426"/>
      <c r="Q22" s="426"/>
      <c r="R22" s="1"/>
    </row>
    <row r="23" spans="1:18">
      <c r="A23" t="s">
        <v>380</v>
      </c>
      <c r="B23" t="s">
        <v>381</v>
      </c>
      <c r="C23" t="s">
        <v>382</v>
      </c>
      <c r="D23" s="1">
        <v>4</v>
      </c>
      <c r="E23" s="1">
        <v>2</v>
      </c>
      <c r="F23" s="1">
        <v>4</v>
      </c>
      <c r="G23" s="165">
        <f>(3410*1.06*1.73*1.45*1.25*1.263*1.12*E23/165)*F23+(3410*1.06*1.82*1.45*1.25*1.263*1.12*E24/165)*F24</f>
        <v>777.34136502400008</v>
      </c>
      <c r="H23" s="165">
        <f>[2]Лист2!F47/1000*[2]Лист1!O23</f>
        <v>787.08275104100858</v>
      </c>
      <c r="I23" s="1" t="s">
        <v>388</v>
      </c>
      <c r="J23" s="1">
        <v>1500</v>
      </c>
      <c r="K23" s="1">
        <v>4</v>
      </c>
      <c r="L23" s="166">
        <f>J23*K23</f>
        <v>6000</v>
      </c>
      <c r="M23" s="165">
        <f>G23*0.9</f>
        <v>699.60722852160006</v>
      </c>
      <c r="N23" s="165">
        <f>(G23+H23+L23)*0.05</f>
        <v>378.22120580325048</v>
      </c>
      <c r="O23" s="1">
        <v>865.2</v>
      </c>
      <c r="P23" s="165">
        <f>SUM(G23,H23,L23:N23)</f>
        <v>8642.2525503898596</v>
      </c>
      <c r="Q23" s="165">
        <f>P23/12/O23</f>
        <v>0.83239448975091102</v>
      </c>
      <c r="R23" s="1"/>
    </row>
    <row r="24" spans="1:18">
      <c r="B24" t="s">
        <v>384</v>
      </c>
      <c r="D24" s="1"/>
      <c r="E24" s="1"/>
      <c r="F24" s="1"/>
      <c r="G24" s="165"/>
      <c r="H24" s="165"/>
      <c r="I24" s="1"/>
      <c r="J24" s="1"/>
      <c r="K24" s="1"/>
      <c r="L24" s="166"/>
      <c r="M24" s="165"/>
      <c r="N24" s="165"/>
      <c r="O24" s="1"/>
      <c r="P24" s="1"/>
      <c r="Q24" s="1"/>
      <c r="R24" s="1"/>
    </row>
    <row r="25" spans="1:18">
      <c r="A25" t="s">
        <v>385</v>
      </c>
      <c r="B25" t="s">
        <v>381</v>
      </c>
      <c r="C25" t="s">
        <v>382</v>
      </c>
      <c r="D25" s="1">
        <v>4</v>
      </c>
      <c r="E25" s="1">
        <v>2</v>
      </c>
      <c r="F25" s="1">
        <v>8</v>
      </c>
      <c r="G25" s="165">
        <f>(3410*1.06*1.73*1.45*1.25*1.263*1.12*E25/165)*F25+(3410*1.06*1.82*1.45*1.25*1.263*1.12*E26/165)*F26</f>
        <v>1554.6827300480002</v>
      </c>
      <c r="H25" s="165">
        <f>[2]Лист2!F47/1000*[2]Лист1!O25</f>
        <v>2733.8662545404977</v>
      </c>
      <c r="I25" s="1" t="s">
        <v>388</v>
      </c>
      <c r="J25" s="1">
        <v>1500</v>
      </c>
      <c r="K25" s="1">
        <v>8</v>
      </c>
      <c r="L25" s="166">
        <f>J25*K25</f>
        <v>12000</v>
      </c>
      <c r="M25" s="165">
        <f>G25*0.9</f>
        <v>1399.2144570432001</v>
      </c>
      <c r="N25" s="165">
        <f>(G25+H25+L25)*0.05</f>
        <v>814.42744922942495</v>
      </c>
      <c r="O25" s="1">
        <v>3005.2</v>
      </c>
      <c r="P25" s="165">
        <f>SUM(G25,H25,L25:N25)</f>
        <v>18502.190890861122</v>
      </c>
      <c r="Q25" s="165">
        <f>P25/12/O25</f>
        <v>0.51306044220188129</v>
      </c>
      <c r="R25" s="1"/>
    </row>
    <row r="26" spans="1:18">
      <c r="B26" t="s">
        <v>384</v>
      </c>
      <c r="D26" s="1"/>
      <c r="E26" s="1"/>
      <c r="F26" s="1"/>
      <c r="G26" s="165"/>
      <c r="H26" s="165"/>
      <c r="I26" s="1"/>
      <c r="J26" s="1"/>
      <c r="K26" s="1"/>
      <c r="L26" s="166"/>
      <c r="M26" s="165"/>
      <c r="N26" s="165"/>
      <c r="O26" s="1"/>
      <c r="P26" s="1"/>
      <c r="Q26" s="1"/>
      <c r="R26" s="1"/>
    </row>
    <row r="27" spans="1:18">
      <c r="A27" t="s">
        <v>386</v>
      </c>
      <c r="B27" t="s">
        <v>381</v>
      </c>
      <c r="C27" t="s">
        <v>382</v>
      </c>
      <c r="D27" s="1">
        <v>4</v>
      </c>
      <c r="E27" s="1">
        <v>2</v>
      </c>
      <c r="F27" s="1">
        <v>16</v>
      </c>
      <c r="G27" s="165">
        <f>(3410*1.06*1.73*1.45*1.25*1.263*1.12*E27/165)*F27+(3410*1.06*1.82*1.45*1.25*1.263*1.12*E28/165)*F28</f>
        <v>3109.3654600960003</v>
      </c>
      <c r="H27" s="165">
        <f>[2]Лист2!F47/1000*[2]Лист1!O27</f>
        <v>7579.7196968026847</v>
      </c>
      <c r="I27" s="1" t="s">
        <v>388</v>
      </c>
      <c r="J27" s="1">
        <v>1500</v>
      </c>
      <c r="K27" s="1">
        <v>16</v>
      </c>
      <c r="L27" s="166">
        <f>J27*K27</f>
        <v>24000</v>
      </c>
      <c r="M27" s="165">
        <f>G27*0.9</f>
        <v>2798.4289140864003</v>
      </c>
      <c r="N27" s="165">
        <f>(G27+H27+L27)*0.05</f>
        <v>1734.4542578449343</v>
      </c>
      <c r="O27" s="1">
        <v>8332</v>
      </c>
      <c r="P27" s="165">
        <f>SUM(G27,H27,L27:N27)</f>
        <v>39221.968328830015</v>
      </c>
      <c r="Q27" s="165">
        <f>P27/12/O27</f>
        <v>0.392282448480057</v>
      </c>
      <c r="R27" s="1"/>
    </row>
    <row r="28" spans="1:18">
      <c r="B28" t="s">
        <v>384</v>
      </c>
      <c r="D28" s="1"/>
      <c r="E28" s="1"/>
      <c r="F28" s="1"/>
      <c r="G28" s="165"/>
      <c r="H28" s="165"/>
      <c r="J28" s="1"/>
      <c r="K28" s="1"/>
      <c r="L28" s="165"/>
      <c r="M28" s="165"/>
      <c r="N28" s="165"/>
      <c r="O28" s="1"/>
      <c r="P28" s="1"/>
      <c r="Q28" s="1"/>
      <c r="R28" s="1"/>
    </row>
    <row r="29" spans="1:18">
      <c r="D29" s="1"/>
      <c r="E29" s="1"/>
      <c r="F29" s="1"/>
      <c r="G29" s="165"/>
      <c r="H29" s="165"/>
      <c r="I29" s="1"/>
      <c r="J29" s="1"/>
      <c r="K29" s="1"/>
      <c r="L29" s="165"/>
      <c r="M29" s="165"/>
      <c r="N29" s="165"/>
      <c r="O29" s="1"/>
      <c r="P29" s="1"/>
      <c r="Q29" s="1"/>
      <c r="R29" s="1"/>
    </row>
    <row r="30" spans="1:18">
      <c r="D30" s="1"/>
      <c r="E30" s="1"/>
      <c r="F30" s="1"/>
      <c r="G30" s="165"/>
      <c r="H30" s="165"/>
      <c r="I30" s="1"/>
      <c r="J30" s="1"/>
      <c r="K30" s="1"/>
      <c r="L30" s="165"/>
      <c r="M30" s="165"/>
      <c r="N30" s="165"/>
      <c r="O30" s="1"/>
      <c r="P30" s="1"/>
      <c r="Q30" s="1"/>
      <c r="R30" s="1"/>
    </row>
    <row r="31" spans="1:18">
      <c r="D31" s="1"/>
      <c r="E31" s="1"/>
      <c r="F31" s="1"/>
      <c r="G31" s="165"/>
      <c r="H31" s="165"/>
      <c r="I31" s="1"/>
      <c r="J31" s="1"/>
      <c r="K31" s="1"/>
      <c r="L31" s="165"/>
      <c r="M31" s="165"/>
      <c r="N31" s="165"/>
      <c r="O31" s="1"/>
      <c r="P31" s="1"/>
      <c r="Q31" s="1"/>
      <c r="R31" s="1"/>
    </row>
    <row r="32" spans="1:18">
      <c r="G32" s="21"/>
      <c r="H32" s="21"/>
      <c r="L32" s="21"/>
      <c r="M32" s="21"/>
      <c r="N32" s="21"/>
    </row>
    <row r="33" spans="1:7">
      <c r="A33" t="s">
        <v>389</v>
      </c>
    </row>
    <row r="34" spans="1:7">
      <c r="A34" t="s">
        <v>390</v>
      </c>
    </row>
    <row r="35" spans="1:7">
      <c r="A35" t="s">
        <v>47</v>
      </c>
      <c r="B35">
        <v>1</v>
      </c>
      <c r="C35">
        <v>2</v>
      </c>
      <c r="D35">
        <v>3</v>
      </c>
      <c r="E35">
        <v>4</v>
      </c>
      <c r="F35">
        <v>5</v>
      </c>
      <c r="G35">
        <v>6</v>
      </c>
    </row>
    <row r="36" spans="1:7">
      <c r="A36" t="s">
        <v>48</v>
      </c>
      <c r="B36" s="21">
        <v>1</v>
      </c>
      <c r="C36" s="21">
        <v>1.36</v>
      </c>
      <c r="D36" s="21">
        <v>1.59</v>
      </c>
      <c r="E36" s="21">
        <v>1.73</v>
      </c>
      <c r="F36" s="21">
        <v>1.82</v>
      </c>
      <c r="G36" s="21">
        <v>2</v>
      </c>
    </row>
    <row r="37" spans="1:7">
      <c r="A37" t="s">
        <v>391</v>
      </c>
    </row>
    <row r="38" spans="1:7">
      <c r="A38" t="s">
        <v>392</v>
      </c>
    </row>
    <row r="39" spans="1:7">
      <c r="A39" t="s">
        <v>393</v>
      </c>
    </row>
    <row r="40" spans="1:7">
      <c r="A40" t="s">
        <v>394</v>
      </c>
    </row>
    <row r="41" spans="1:7">
      <c r="A41" t="s">
        <v>395</v>
      </c>
    </row>
    <row r="42" spans="1:7">
      <c r="A42" t="s">
        <v>396</v>
      </c>
    </row>
  </sheetData>
  <mergeCells count="5">
    <mergeCell ref="A22:Q22"/>
    <mergeCell ref="C3:G3"/>
    <mergeCell ref="I3:L3"/>
    <mergeCell ref="P3:Q3"/>
    <mergeCell ref="A11:Q11"/>
  </mergeCells>
  <phoneticPr fontId="5" type="noConversion"/>
  <pageMargins left="0.26" right="0.23" top="0.26" bottom="0.25" header="0.24" footer="0.2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42"/>
  <sheetViews>
    <sheetView workbookViewId="0">
      <selection activeCell="F18" sqref="F18"/>
    </sheetView>
  </sheetViews>
  <sheetFormatPr defaultRowHeight="12.75"/>
  <cols>
    <col min="1" max="1" width="5.42578125" customWidth="1"/>
    <col min="9" max="9" width="9.5703125" bestFit="1" customWidth="1"/>
    <col min="10" max="10" width="10.140625" customWidth="1"/>
  </cols>
  <sheetData>
    <row r="1" spans="1:13" ht="15.75">
      <c r="A1" s="109" t="s">
        <v>250</v>
      </c>
    </row>
    <row r="3" spans="1:13">
      <c r="A3" s="75" t="s">
        <v>251</v>
      </c>
    </row>
    <row r="4" spans="1:13">
      <c r="A4" s="84" t="str">
        <f ca="1">Исх.данные!B50</f>
        <v>Часовая ставка 1 разряда (руб/час)</v>
      </c>
      <c r="B4" s="84"/>
      <c r="C4" s="84"/>
      <c r="D4" s="84"/>
      <c r="K4" s="21">
        <f ca="1">Исх.данные!F50</f>
        <v>42.587560386473434</v>
      </c>
    </row>
    <row r="5" spans="1:13">
      <c r="A5" s="84" t="s">
        <v>323</v>
      </c>
      <c r="B5" s="84"/>
      <c r="C5" s="84"/>
      <c r="D5" s="84"/>
      <c r="J5" s="261" t="s">
        <v>583</v>
      </c>
      <c r="K5" s="199">
        <v>0.7</v>
      </c>
    </row>
    <row r="6" spans="1:13">
      <c r="A6" s="48" t="s">
        <v>252</v>
      </c>
      <c r="B6" s="147"/>
      <c r="C6" s="134" t="s">
        <v>187</v>
      </c>
      <c r="D6" s="134" t="s">
        <v>255</v>
      </c>
      <c r="E6" s="134" t="s">
        <v>256</v>
      </c>
      <c r="F6" s="134" t="s">
        <v>258</v>
      </c>
      <c r="M6" s="74"/>
    </row>
    <row r="7" spans="1:13">
      <c r="A7" s="49"/>
      <c r="B7" s="80"/>
      <c r="C7" s="54" t="s">
        <v>254</v>
      </c>
      <c r="D7" s="54"/>
      <c r="E7" s="54" t="s">
        <v>257</v>
      </c>
      <c r="F7" s="54" t="s">
        <v>259</v>
      </c>
      <c r="M7" s="74"/>
    </row>
    <row r="8" spans="1:13">
      <c r="A8" t="s">
        <v>253</v>
      </c>
      <c r="C8">
        <v>53.5</v>
      </c>
      <c r="D8">
        <v>4</v>
      </c>
      <c r="E8" s="21">
        <f ca="1">Исх.данные!F40</f>
        <v>1.73</v>
      </c>
      <c r="M8" s="74"/>
    </row>
    <row r="9" spans="1:13">
      <c r="A9" t="s">
        <v>260</v>
      </c>
      <c r="C9">
        <v>5.6</v>
      </c>
      <c r="D9">
        <v>2</v>
      </c>
      <c r="E9" s="21">
        <f ca="1">Исх.данные!D40</f>
        <v>1.36</v>
      </c>
      <c r="M9" s="74"/>
    </row>
    <row r="10" spans="1:13">
      <c r="C10">
        <v>5.6</v>
      </c>
      <c r="D10">
        <v>3</v>
      </c>
      <c r="E10" s="21">
        <f ca="1">Исх.данные!E40</f>
        <v>1.59</v>
      </c>
      <c r="M10" s="74"/>
    </row>
    <row r="11" spans="1:13">
      <c r="A11" t="s">
        <v>261</v>
      </c>
      <c r="C11">
        <v>64.7</v>
      </c>
      <c r="F11" s="21">
        <f>(C8*E8+C9*E9+C10*E10)*K4/C11</f>
        <v>71.796571084305853</v>
      </c>
      <c r="M11" s="74"/>
    </row>
    <row r="13" spans="1:13" ht="13.5" thickBot="1">
      <c r="A13" t="s">
        <v>262</v>
      </c>
    </row>
    <row r="14" spans="1:13">
      <c r="B14" s="95" t="s">
        <v>135</v>
      </c>
      <c r="C14" s="118"/>
      <c r="D14" s="118"/>
      <c r="E14" s="89" t="s">
        <v>187</v>
      </c>
      <c r="F14" s="130" t="s">
        <v>88</v>
      </c>
      <c r="G14" s="139" t="s">
        <v>189</v>
      </c>
      <c r="H14" s="83"/>
      <c r="I14" s="83"/>
    </row>
    <row r="15" spans="1:13">
      <c r="B15" s="97" t="s">
        <v>74</v>
      </c>
      <c r="C15" s="83"/>
      <c r="D15" s="82"/>
      <c r="E15" s="141" t="s">
        <v>188</v>
      </c>
      <c r="F15" s="100" t="s">
        <v>89</v>
      </c>
      <c r="G15" s="140" t="s">
        <v>192</v>
      </c>
      <c r="H15" s="83"/>
      <c r="I15" s="83"/>
    </row>
    <row r="16" spans="1:13">
      <c r="B16" s="97"/>
      <c r="C16" s="83"/>
      <c r="D16" s="82"/>
      <c r="E16" s="142" t="s">
        <v>192</v>
      </c>
      <c r="F16" s="100"/>
      <c r="G16" s="6" t="s">
        <v>233</v>
      </c>
      <c r="H16" s="36"/>
      <c r="I16" s="36"/>
    </row>
    <row r="17" spans="1:9" ht="13.5" thickBot="1">
      <c r="B17" s="104"/>
      <c r="C17" s="119"/>
      <c r="D17" s="119"/>
      <c r="E17" s="92"/>
      <c r="F17" s="102"/>
      <c r="G17" s="9" t="s">
        <v>223</v>
      </c>
      <c r="H17" s="83"/>
      <c r="I17" s="26"/>
    </row>
    <row r="18" spans="1:9">
      <c r="A18" s="45" t="s">
        <v>77</v>
      </c>
      <c r="B18" s="155" t="s">
        <v>263</v>
      </c>
      <c r="C18" s="82"/>
      <c r="D18" s="82"/>
      <c r="E18" s="50">
        <v>2.92</v>
      </c>
      <c r="F18" s="159">
        <f ca="1">Цены!K7</f>
        <v>101</v>
      </c>
      <c r="G18" s="160">
        <f>E18*F18</f>
        <v>294.92</v>
      </c>
      <c r="H18" s="83"/>
      <c r="I18" s="26"/>
    </row>
    <row r="19" spans="1:9">
      <c r="A19" s="45" t="s">
        <v>79</v>
      </c>
      <c r="B19" s="155" t="s">
        <v>264</v>
      </c>
      <c r="C19" s="82"/>
      <c r="D19" s="82"/>
      <c r="E19" s="50">
        <v>3.33</v>
      </c>
      <c r="F19" s="161">
        <f ca="1">Цены!K8</f>
        <v>123</v>
      </c>
      <c r="G19" s="44">
        <f>E19*F19</f>
        <v>409.59000000000003</v>
      </c>
      <c r="H19" s="83"/>
      <c r="I19" s="26"/>
    </row>
    <row r="20" spans="1:9">
      <c r="A20" s="45" t="s">
        <v>133</v>
      </c>
      <c r="B20" s="155" t="s">
        <v>265</v>
      </c>
      <c r="C20" s="82"/>
      <c r="D20" s="82"/>
      <c r="E20" s="50">
        <v>0.42</v>
      </c>
      <c r="F20" s="161">
        <f ca="1">Цены!K9</f>
        <v>138</v>
      </c>
      <c r="G20" s="44">
        <f t="shared" ref="G20:G49" si="0">E20*F20</f>
        <v>57.96</v>
      </c>
      <c r="H20" s="83"/>
      <c r="I20" s="26"/>
    </row>
    <row r="21" spans="1:9">
      <c r="A21" s="45" t="s">
        <v>82</v>
      </c>
      <c r="B21" s="155" t="s">
        <v>266</v>
      </c>
      <c r="C21" s="82"/>
      <c r="D21" s="82"/>
      <c r="E21" s="50">
        <v>0.39</v>
      </c>
      <c r="F21" s="161">
        <f ca="1">Цены!K10</f>
        <v>175</v>
      </c>
      <c r="G21" s="44">
        <f t="shared" si="0"/>
        <v>68.25</v>
      </c>
      <c r="H21" s="83"/>
      <c r="I21" s="26"/>
    </row>
    <row r="22" spans="1:9">
      <c r="A22" s="45" t="s">
        <v>84</v>
      </c>
      <c r="B22" s="155" t="s">
        <v>267</v>
      </c>
      <c r="C22" s="82"/>
      <c r="D22" s="82"/>
      <c r="E22" s="50">
        <v>1.51</v>
      </c>
      <c r="F22" s="161">
        <f ca="1">Цены!K11</f>
        <v>314</v>
      </c>
      <c r="G22" s="44">
        <f t="shared" si="0"/>
        <v>474.14</v>
      </c>
      <c r="H22" s="83"/>
      <c r="I22" s="26"/>
    </row>
    <row r="23" spans="1:9">
      <c r="A23" s="45" t="s">
        <v>86</v>
      </c>
      <c r="B23" s="155" t="s">
        <v>268</v>
      </c>
      <c r="C23" s="82"/>
      <c r="D23" s="82"/>
      <c r="E23" s="50">
        <v>0.1</v>
      </c>
      <c r="F23" s="161">
        <f ca="1">Цены!K12</f>
        <v>50</v>
      </c>
      <c r="G23" s="44">
        <f t="shared" si="0"/>
        <v>5</v>
      </c>
      <c r="H23" s="83"/>
      <c r="I23" s="26"/>
    </row>
    <row r="24" spans="1:9">
      <c r="A24" s="45" t="s">
        <v>269</v>
      </c>
      <c r="B24" s="155" t="s">
        <v>270</v>
      </c>
      <c r="C24" s="82"/>
      <c r="D24" s="82"/>
      <c r="E24" s="50">
        <v>0.04</v>
      </c>
      <c r="F24" s="161">
        <f ca="1">Цены!K13</f>
        <v>52</v>
      </c>
      <c r="G24" s="44">
        <f t="shared" si="0"/>
        <v>2.08</v>
      </c>
      <c r="H24" s="83"/>
      <c r="I24" s="26"/>
    </row>
    <row r="25" spans="1:9">
      <c r="A25" s="45" t="s">
        <v>8</v>
      </c>
      <c r="B25" s="155" t="s">
        <v>271</v>
      </c>
      <c r="C25" s="82"/>
      <c r="D25" s="82"/>
      <c r="E25" s="50">
        <v>0.05</v>
      </c>
      <c r="F25" s="161">
        <f ca="1">Цены!K14</f>
        <v>80</v>
      </c>
      <c r="G25" s="44">
        <f t="shared" si="0"/>
        <v>4</v>
      </c>
      <c r="H25" s="83"/>
      <c r="I25" s="26"/>
    </row>
    <row r="26" spans="1:9">
      <c r="A26" s="45" t="s">
        <v>11</v>
      </c>
      <c r="B26" s="155" t="s">
        <v>272</v>
      </c>
      <c r="C26" s="82"/>
      <c r="D26" s="82"/>
      <c r="E26" s="50">
        <v>1.0900000000000001</v>
      </c>
      <c r="F26" s="161">
        <f ca="1">Цены!K15</f>
        <v>250</v>
      </c>
      <c r="G26" s="44">
        <f t="shared" si="0"/>
        <v>272.5</v>
      </c>
      <c r="H26" s="83"/>
      <c r="I26" s="26"/>
    </row>
    <row r="27" spans="1:9">
      <c r="A27" s="45" t="s">
        <v>273</v>
      </c>
      <c r="B27" s="155" t="s">
        <v>274</v>
      </c>
      <c r="C27" s="82"/>
      <c r="D27" s="82"/>
      <c r="E27" s="50">
        <v>0.02</v>
      </c>
      <c r="F27" s="161">
        <f ca="1">Цены!K16</f>
        <v>380</v>
      </c>
      <c r="G27" s="44">
        <f t="shared" si="0"/>
        <v>7.6000000000000005</v>
      </c>
      <c r="H27" s="83"/>
      <c r="I27" s="26"/>
    </row>
    <row r="28" spans="1:9">
      <c r="A28" s="45" t="s">
        <v>277</v>
      </c>
      <c r="B28" s="155" t="s">
        <v>278</v>
      </c>
      <c r="C28" s="82"/>
      <c r="D28" s="82"/>
      <c r="E28" s="50">
        <v>0.88</v>
      </c>
      <c r="F28" s="161">
        <f ca="1">Цены!K18</f>
        <v>207</v>
      </c>
      <c r="G28" s="44">
        <f t="shared" si="0"/>
        <v>182.16</v>
      </c>
      <c r="H28" s="83"/>
      <c r="I28" s="26"/>
    </row>
    <row r="29" spans="1:9">
      <c r="A29" s="45" t="s">
        <v>279</v>
      </c>
      <c r="B29" s="155" t="s">
        <v>280</v>
      </c>
      <c r="C29" s="82"/>
      <c r="D29" s="82"/>
      <c r="E29" s="50">
        <v>6.29</v>
      </c>
      <c r="F29" s="161">
        <f ca="1">Цены!K19</f>
        <v>17</v>
      </c>
      <c r="G29" s="44">
        <f t="shared" si="0"/>
        <v>106.93</v>
      </c>
      <c r="H29" s="83"/>
      <c r="I29" s="26"/>
    </row>
    <row r="30" spans="1:9">
      <c r="A30" s="45" t="s">
        <v>281</v>
      </c>
      <c r="B30" s="155" t="s">
        <v>282</v>
      </c>
      <c r="C30" s="82"/>
      <c r="D30" s="82"/>
      <c r="E30" s="50">
        <v>0.15</v>
      </c>
      <c r="F30" s="161">
        <f ca="1">Цены!K20</f>
        <v>245</v>
      </c>
      <c r="G30" s="44">
        <f t="shared" si="0"/>
        <v>36.75</v>
      </c>
      <c r="H30" s="83"/>
      <c r="I30" s="26"/>
    </row>
    <row r="31" spans="1:9">
      <c r="A31" s="45" t="s">
        <v>283</v>
      </c>
      <c r="B31" s="155" t="s">
        <v>284</v>
      </c>
      <c r="C31" s="82"/>
      <c r="D31" s="82"/>
      <c r="E31" s="50">
        <v>0.33</v>
      </c>
      <c r="F31" s="161">
        <f ca="1">Цены!K21</f>
        <v>540</v>
      </c>
      <c r="G31" s="44">
        <f t="shared" si="0"/>
        <v>178.20000000000002</v>
      </c>
      <c r="H31" s="83"/>
      <c r="I31" s="26"/>
    </row>
    <row r="32" spans="1:9">
      <c r="A32" s="45" t="s">
        <v>285</v>
      </c>
      <c r="B32" s="155" t="s">
        <v>286</v>
      </c>
      <c r="C32" s="82"/>
      <c r="D32" s="82"/>
      <c r="E32" s="50">
        <v>0.03</v>
      </c>
      <c r="F32" s="161">
        <f ca="1">Цены!K22</f>
        <v>308</v>
      </c>
      <c r="G32" s="44">
        <f t="shared" si="0"/>
        <v>9.24</v>
      </c>
      <c r="H32" s="83"/>
      <c r="I32" s="26"/>
    </row>
    <row r="33" spans="1:9">
      <c r="A33" s="45" t="s">
        <v>287</v>
      </c>
      <c r="B33" s="155" t="s">
        <v>288</v>
      </c>
      <c r="C33" s="82"/>
      <c r="D33" s="82"/>
      <c r="E33" s="50">
        <v>0.04</v>
      </c>
      <c r="F33" s="161">
        <f ca="1">Цены!K23</f>
        <v>54</v>
      </c>
      <c r="G33" s="44">
        <f t="shared" si="0"/>
        <v>2.16</v>
      </c>
      <c r="H33" s="83"/>
      <c r="I33" s="26"/>
    </row>
    <row r="34" spans="1:9">
      <c r="A34" s="134" t="s">
        <v>289</v>
      </c>
      <c r="B34" s="79" t="s">
        <v>290</v>
      </c>
      <c r="C34" s="82"/>
      <c r="D34" s="82"/>
      <c r="E34" s="157"/>
      <c r="F34" s="161"/>
      <c r="G34" s="44"/>
      <c r="H34" s="83"/>
      <c r="I34" s="26"/>
    </row>
    <row r="35" spans="1:9">
      <c r="A35" s="54"/>
      <c r="B35" s="156" t="s">
        <v>291</v>
      </c>
      <c r="C35" s="82"/>
      <c r="D35" s="82"/>
      <c r="E35" s="72">
        <v>4.1399999999999997</v>
      </c>
      <c r="F35" s="161">
        <f ca="1">Цены!K25</f>
        <v>1060</v>
      </c>
      <c r="G35" s="44">
        <f t="shared" si="0"/>
        <v>4388.3999999999996</v>
      </c>
      <c r="H35" s="83"/>
      <c r="I35" s="26"/>
    </row>
    <row r="36" spans="1:9">
      <c r="A36" s="45" t="s">
        <v>292</v>
      </c>
      <c r="B36" s="155" t="s">
        <v>276</v>
      </c>
      <c r="C36" s="82"/>
      <c r="D36" s="82"/>
      <c r="E36" s="50">
        <v>0.52</v>
      </c>
      <c r="F36" s="161">
        <f ca="1">Цены!K26</f>
        <v>190</v>
      </c>
      <c r="G36" s="44">
        <f t="shared" si="0"/>
        <v>98.8</v>
      </c>
      <c r="H36" s="83"/>
      <c r="I36" s="26"/>
    </row>
    <row r="37" spans="1:9">
      <c r="A37" s="45" t="s">
        <v>293</v>
      </c>
      <c r="B37" s="155" t="s">
        <v>294</v>
      </c>
      <c r="C37" s="82"/>
      <c r="D37" s="82"/>
      <c r="E37" s="50">
        <v>0.01</v>
      </c>
      <c r="F37" s="161">
        <f ca="1">Цены!K27</f>
        <v>780</v>
      </c>
      <c r="G37" s="44">
        <f t="shared" si="0"/>
        <v>7.8</v>
      </c>
      <c r="H37" s="83"/>
      <c r="I37" s="26"/>
    </row>
    <row r="38" spans="1:9">
      <c r="A38" s="45" t="s">
        <v>295</v>
      </c>
      <c r="B38" s="155" t="s">
        <v>296</v>
      </c>
      <c r="C38" s="82"/>
      <c r="D38" s="82"/>
      <c r="E38" s="50">
        <v>0.9</v>
      </c>
      <c r="F38" s="161">
        <f ca="1">Цены!K28</f>
        <v>150</v>
      </c>
      <c r="G38" s="44">
        <f t="shared" si="0"/>
        <v>135</v>
      </c>
      <c r="H38" s="83"/>
      <c r="I38" s="26"/>
    </row>
    <row r="39" spans="1:9">
      <c r="A39" s="155" t="s">
        <v>297</v>
      </c>
      <c r="B39" s="45" t="s">
        <v>298</v>
      </c>
      <c r="C39" s="82"/>
      <c r="D39" s="82"/>
      <c r="E39" s="50">
        <v>1.63</v>
      </c>
      <c r="F39" s="161">
        <f ca="1">Цены!K29</f>
        <v>2508</v>
      </c>
      <c r="G39" s="44">
        <f t="shared" si="0"/>
        <v>4088.0399999999995</v>
      </c>
      <c r="H39" s="83"/>
      <c r="I39" s="26"/>
    </row>
    <row r="40" spans="1:9">
      <c r="A40" s="155" t="s">
        <v>299</v>
      </c>
      <c r="B40" s="45" t="s">
        <v>300</v>
      </c>
      <c r="C40" s="82"/>
      <c r="D40" s="82"/>
      <c r="E40" s="50">
        <v>4.7999999999999996E-3</v>
      </c>
      <c r="F40" s="161">
        <f ca="1">Цены!K30</f>
        <v>24000</v>
      </c>
      <c r="G40" s="44">
        <f t="shared" si="0"/>
        <v>115.19999999999999</v>
      </c>
      <c r="H40" s="83"/>
      <c r="I40" s="26"/>
    </row>
    <row r="41" spans="1:9">
      <c r="A41" s="155" t="s">
        <v>301</v>
      </c>
      <c r="B41" s="45" t="s">
        <v>302</v>
      </c>
      <c r="C41" s="82"/>
      <c r="D41" s="82"/>
      <c r="E41" s="50">
        <v>0.18</v>
      </c>
      <c r="F41" s="161">
        <f ca="1">Цены!K31</f>
        <v>24961</v>
      </c>
      <c r="G41" s="44">
        <f t="shared" si="0"/>
        <v>4492.9799999999996</v>
      </c>
      <c r="H41" s="83"/>
      <c r="I41" s="26"/>
    </row>
    <row r="42" spans="1:9">
      <c r="A42" s="155" t="s">
        <v>303</v>
      </c>
      <c r="B42" s="45" t="s">
        <v>304</v>
      </c>
      <c r="C42" s="82"/>
      <c r="D42" s="82"/>
      <c r="E42" s="50">
        <v>3.02</v>
      </c>
      <c r="F42" s="161">
        <f ca="1">Цены!K32</f>
        <v>3390</v>
      </c>
      <c r="G42" s="44">
        <f t="shared" si="0"/>
        <v>10237.799999999999</v>
      </c>
      <c r="H42" s="83"/>
      <c r="I42" s="26"/>
    </row>
    <row r="43" spans="1:9">
      <c r="A43" s="155" t="s">
        <v>305</v>
      </c>
      <c r="B43" s="45" t="s">
        <v>306</v>
      </c>
      <c r="C43" s="82"/>
      <c r="D43" s="82"/>
      <c r="E43" s="50">
        <v>1.89</v>
      </c>
      <c r="F43" s="161">
        <f ca="1">Цены!K33</f>
        <v>147</v>
      </c>
      <c r="G43" s="44">
        <f t="shared" si="0"/>
        <v>277.83</v>
      </c>
      <c r="H43" s="83"/>
      <c r="I43" s="26"/>
    </row>
    <row r="44" spans="1:9">
      <c r="A44" s="155" t="s">
        <v>307</v>
      </c>
      <c r="B44" s="45" t="s">
        <v>308</v>
      </c>
      <c r="C44" s="82"/>
      <c r="D44" s="82"/>
      <c r="E44" s="50">
        <v>1.9</v>
      </c>
      <c r="F44" s="161">
        <f ca="1">Цены!K34</f>
        <v>325</v>
      </c>
      <c r="G44" s="44">
        <f t="shared" si="0"/>
        <v>617.5</v>
      </c>
      <c r="H44" s="83"/>
      <c r="I44" s="26"/>
    </row>
    <row r="45" spans="1:9">
      <c r="A45" s="155" t="s">
        <v>309</v>
      </c>
      <c r="B45" s="45" t="s">
        <v>310</v>
      </c>
      <c r="C45" s="82"/>
      <c r="D45" s="82"/>
      <c r="E45" s="50">
        <v>2.1</v>
      </c>
      <c r="F45" s="161">
        <f ca="1">Цены!K35</f>
        <v>450</v>
      </c>
      <c r="G45" s="44">
        <f t="shared" si="0"/>
        <v>945</v>
      </c>
      <c r="H45" s="83"/>
      <c r="I45" s="26"/>
    </row>
    <row r="46" spans="1:9">
      <c r="A46" s="155" t="s">
        <v>311</v>
      </c>
      <c r="B46" s="45" t="s">
        <v>312</v>
      </c>
      <c r="C46" s="82"/>
      <c r="D46" s="82"/>
      <c r="E46" s="50">
        <v>2.1</v>
      </c>
      <c r="F46" s="161">
        <f ca="1">Цены!K36</f>
        <v>345</v>
      </c>
      <c r="G46" s="44">
        <f t="shared" si="0"/>
        <v>724.5</v>
      </c>
      <c r="H46" s="83"/>
      <c r="I46" s="26"/>
    </row>
    <row r="47" spans="1:9">
      <c r="A47" s="155" t="s">
        <v>313</v>
      </c>
      <c r="B47" s="45" t="s">
        <v>314</v>
      </c>
      <c r="C47" s="82"/>
      <c r="D47" s="82"/>
      <c r="E47" s="50">
        <v>0.57999999999999996</v>
      </c>
      <c r="F47" s="161">
        <f ca="1">Цены!K37</f>
        <v>17</v>
      </c>
      <c r="G47" s="44">
        <f t="shared" si="0"/>
        <v>9.86</v>
      </c>
      <c r="H47" s="83"/>
      <c r="I47" s="26"/>
    </row>
    <row r="48" spans="1:9">
      <c r="A48" s="155" t="s">
        <v>315</v>
      </c>
      <c r="B48" s="45" t="s">
        <v>316</v>
      </c>
      <c r="C48" s="82"/>
      <c r="D48" s="82"/>
      <c r="E48" s="50">
        <v>0.36</v>
      </c>
      <c r="F48" s="161">
        <f ca="1">Цены!K38</f>
        <v>2400</v>
      </c>
      <c r="G48" s="44">
        <f t="shared" si="0"/>
        <v>864</v>
      </c>
      <c r="H48" s="83"/>
      <c r="I48" s="26"/>
    </row>
    <row r="49" spans="1:11">
      <c r="A49" s="155" t="s">
        <v>317</v>
      </c>
      <c r="B49" s="45" t="s">
        <v>318</v>
      </c>
      <c r="C49" s="82"/>
      <c r="D49" s="82"/>
      <c r="E49" s="50">
        <v>1.08</v>
      </c>
      <c r="F49" s="161">
        <f ca="1">Цены!K39</f>
        <v>13</v>
      </c>
      <c r="G49" s="44">
        <f t="shared" si="0"/>
        <v>14.040000000000001</v>
      </c>
      <c r="H49" s="83"/>
      <c r="I49" s="26"/>
    </row>
    <row r="50" spans="1:11">
      <c r="B50" s="82"/>
      <c r="C50" s="82"/>
      <c r="D50" s="82"/>
      <c r="E50" s="83"/>
      <c r="F50" s="83"/>
      <c r="G50" s="47">
        <f>SUM(G18:G49)</f>
        <v>29128.230000000003</v>
      </c>
      <c r="H50" s="83"/>
      <c r="I50" s="26"/>
    </row>
    <row r="51" spans="1:11" ht="13.5" thickBot="1">
      <c r="A51" s="71" t="s">
        <v>321</v>
      </c>
      <c r="B51" s="46"/>
    </row>
    <row r="52" spans="1:11" ht="13.5" thickBot="1">
      <c r="A52" s="15" t="s">
        <v>71</v>
      </c>
      <c r="B52" s="15" t="s">
        <v>103</v>
      </c>
      <c r="C52" s="15" t="s">
        <v>108</v>
      </c>
      <c r="D52" s="22" t="s">
        <v>111</v>
      </c>
      <c r="E52" s="23"/>
      <c r="F52" s="23"/>
      <c r="G52" s="23"/>
      <c r="H52" s="23"/>
      <c r="I52" s="23"/>
      <c r="J52" s="24"/>
      <c r="K52" s="15" t="s">
        <v>124</v>
      </c>
    </row>
    <row r="53" spans="1:11">
      <c r="A53" s="6" t="s">
        <v>102</v>
      </c>
      <c r="B53" s="6" t="s">
        <v>104</v>
      </c>
      <c r="C53" s="6" t="s">
        <v>109</v>
      </c>
      <c r="D53" s="15" t="s">
        <v>114</v>
      </c>
      <c r="E53" s="15" t="s">
        <v>112</v>
      </c>
      <c r="F53" s="15" t="s">
        <v>112</v>
      </c>
      <c r="G53" s="15" t="s">
        <v>113</v>
      </c>
      <c r="H53" s="15" t="s">
        <v>116</v>
      </c>
      <c r="I53" s="15" t="s">
        <v>118</v>
      </c>
      <c r="J53" s="15" t="s">
        <v>121</v>
      </c>
      <c r="K53" s="6" t="s">
        <v>125</v>
      </c>
    </row>
    <row r="54" spans="1:11">
      <c r="A54" s="6"/>
      <c r="B54" s="6" t="s">
        <v>105</v>
      </c>
      <c r="C54" s="6" t="s">
        <v>110</v>
      </c>
      <c r="D54" s="6" t="s">
        <v>115</v>
      </c>
      <c r="E54" s="6"/>
      <c r="F54" s="6" t="s">
        <v>123</v>
      </c>
      <c r="G54" s="6"/>
      <c r="H54" s="6" t="s">
        <v>117</v>
      </c>
      <c r="I54" s="6" t="s">
        <v>119</v>
      </c>
      <c r="J54" s="6" t="s">
        <v>122</v>
      </c>
      <c r="K54" s="6" t="s">
        <v>127</v>
      </c>
    </row>
    <row r="55" spans="1:11" ht="13.5" thickBot="1">
      <c r="A55" s="9"/>
      <c r="B55" s="9" t="s">
        <v>106</v>
      </c>
      <c r="C55" s="9" t="s">
        <v>192</v>
      </c>
      <c r="D55" s="9"/>
      <c r="E55" s="9"/>
      <c r="F55" s="9"/>
      <c r="G55" s="73">
        <f ca="1">Исх.данные!F51</f>
        <v>0.30199999999999999</v>
      </c>
      <c r="H55" s="73">
        <f ca="1">Исх.данные!F52</f>
        <v>0.89800000000000002</v>
      </c>
      <c r="I55" s="9" t="s">
        <v>120</v>
      </c>
      <c r="J55" s="9" t="s">
        <v>75</v>
      </c>
      <c r="K55" s="9"/>
    </row>
    <row r="56" spans="1:11">
      <c r="A56" t="s">
        <v>16</v>
      </c>
      <c r="B56" s="74">
        <f ca="1">Исх.данные!C8</f>
        <v>2595.5</v>
      </c>
      <c r="C56" s="21">
        <f ca="1">C11*K5</f>
        <v>45.29</v>
      </c>
      <c r="D56">
        <f ca="1">Исх.данные!F54</f>
        <v>1.1200000000000001</v>
      </c>
      <c r="E56" s="21">
        <f>C56*B56/1000*F11</f>
        <v>8439.7009312915143</v>
      </c>
      <c r="F56" s="21">
        <f t="shared" ref="F56:F65" si="1">E56*D56</f>
        <v>9452.4650430464972</v>
      </c>
      <c r="G56" s="21">
        <f>F56*G55</f>
        <v>2854.644443000042</v>
      </c>
      <c r="H56" s="21">
        <f>F56*H55</f>
        <v>8488.3136086557552</v>
      </c>
      <c r="I56" s="21">
        <f>G50*B56/1000</f>
        <v>75602.320965000006</v>
      </c>
      <c r="J56" s="21">
        <f t="shared" ref="J56:J65" si="2">SUM(F56:I56)</f>
        <v>96397.744059702294</v>
      </c>
      <c r="K56" s="21">
        <f t="shared" ref="K56:K65" si="3">J56/12/B56</f>
        <v>3.0950280633051528</v>
      </c>
    </row>
    <row r="57" spans="1:11">
      <c r="A57" t="s">
        <v>28</v>
      </c>
      <c r="B57" s="74">
        <f ca="1">Исх.данные!D8</f>
        <v>2595.5</v>
      </c>
      <c r="C57" s="21">
        <f ca="1">C56</f>
        <v>45.29</v>
      </c>
      <c r="D57">
        <f ca="1">Исх.данные!F54</f>
        <v>1.1200000000000001</v>
      </c>
      <c r="E57" s="21">
        <f>C57*B57/1000*F11</f>
        <v>8439.7009312915143</v>
      </c>
      <c r="F57" s="21">
        <f t="shared" si="1"/>
        <v>9452.4650430464972</v>
      </c>
      <c r="G57" s="21">
        <f>F57*G55</f>
        <v>2854.644443000042</v>
      </c>
      <c r="H57" s="21">
        <f>F57*H55</f>
        <v>8488.3136086557552</v>
      </c>
      <c r="I57" s="21">
        <f>G50*B57/1000</f>
        <v>75602.320965000006</v>
      </c>
      <c r="J57" s="21">
        <f t="shared" si="2"/>
        <v>96397.744059702294</v>
      </c>
      <c r="K57" s="21">
        <f t="shared" si="3"/>
        <v>3.0950280633051528</v>
      </c>
    </row>
    <row r="58" spans="1:11">
      <c r="A58" t="s">
        <v>36</v>
      </c>
      <c r="B58" s="74">
        <f ca="1">Исх.данные!E8</f>
        <v>7735.2</v>
      </c>
      <c r="C58" s="21">
        <f t="shared" ref="C58:C65" si="4">C57</f>
        <v>45.29</v>
      </c>
      <c r="D58">
        <f ca="1">Исх.данные!F54</f>
        <v>1.1200000000000001</v>
      </c>
      <c r="E58" s="21">
        <f>C58*B58/1000*F11</f>
        <v>25152.2922919384</v>
      </c>
      <c r="F58" s="21">
        <f t="shared" si="1"/>
        <v>28170.567366971012</v>
      </c>
      <c r="G58" s="21">
        <f>F58*G55</f>
        <v>8507.511344825245</v>
      </c>
      <c r="H58" s="21">
        <f>F58*H55</f>
        <v>25297.169495539969</v>
      </c>
      <c r="I58" s="21">
        <f>G50*B58/1000</f>
        <v>225312.68469600001</v>
      </c>
      <c r="J58" s="21">
        <f t="shared" si="2"/>
        <v>287287.93290333624</v>
      </c>
      <c r="K58" s="21">
        <f t="shared" si="3"/>
        <v>3.0950280633051532</v>
      </c>
    </row>
    <row r="59" spans="1:11">
      <c r="A59" t="s">
        <v>39</v>
      </c>
      <c r="B59" s="74">
        <f ca="1">Исх.данные!F8</f>
        <v>7735.2</v>
      </c>
      <c r="C59" s="21">
        <f t="shared" si="4"/>
        <v>45.29</v>
      </c>
      <c r="D59">
        <f ca="1">Исх.данные!F54</f>
        <v>1.1200000000000001</v>
      </c>
      <c r="E59" s="21">
        <f>C59*B59/1000*F11</f>
        <v>25152.2922919384</v>
      </c>
      <c r="F59" s="21">
        <f t="shared" si="1"/>
        <v>28170.567366971012</v>
      </c>
      <c r="G59" s="21">
        <f>F59*G55</f>
        <v>8507.511344825245</v>
      </c>
      <c r="H59" s="21">
        <f>F59*H55</f>
        <v>25297.169495539969</v>
      </c>
      <c r="I59" s="21">
        <f>G50*B59/1000</f>
        <v>225312.68469600001</v>
      </c>
      <c r="J59" s="21">
        <f t="shared" si="2"/>
        <v>287287.93290333624</v>
      </c>
      <c r="K59" s="21">
        <f t="shared" si="3"/>
        <v>3.0950280633051532</v>
      </c>
    </row>
    <row r="60" spans="1:11">
      <c r="A60" t="s">
        <v>64</v>
      </c>
      <c r="B60" s="74">
        <f ca="1">Исх.данные!G8</f>
        <v>7735.2</v>
      </c>
      <c r="C60" s="21">
        <f t="shared" si="4"/>
        <v>45.29</v>
      </c>
      <c r="D60">
        <f ca="1">Исх.данные!F54</f>
        <v>1.1200000000000001</v>
      </c>
      <c r="E60" s="21">
        <f>C60*B60/1000*F11</f>
        <v>25152.2922919384</v>
      </c>
      <c r="F60" s="21">
        <f t="shared" si="1"/>
        <v>28170.567366971012</v>
      </c>
      <c r="G60" s="21">
        <f>F60*G55</f>
        <v>8507.511344825245</v>
      </c>
      <c r="H60" s="21">
        <f>F60*H55</f>
        <v>25297.169495539969</v>
      </c>
      <c r="I60" s="21">
        <f>G50*B60/1000</f>
        <v>225312.68469600001</v>
      </c>
      <c r="J60" s="21">
        <f t="shared" si="2"/>
        <v>287287.93290333624</v>
      </c>
      <c r="K60" s="21">
        <f t="shared" si="3"/>
        <v>3.0950280633051532</v>
      </c>
    </row>
    <row r="61" spans="1:11">
      <c r="A61" t="s">
        <v>41</v>
      </c>
      <c r="B61" s="74">
        <f ca="1">Исх.данные!H8</f>
        <v>189.5</v>
      </c>
      <c r="C61" s="21">
        <f t="shared" si="4"/>
        <v>45.29</v>
      </c>
      <c r="D61">
        <f ca="1">Исх.данные!F54</f>
        <v>1.1200000000000001</v>
      </c>
      <c r="E61" s="21">
        <f>C61*B61/1000*F11</f>
        <v>616.19084048535615</v>
      </c>
      <c r="F61" s="21">
        <f t="shared" si="1"/>
        <v>690.1337413435989</v>
      </c>
      <c r="G61" s="21">
        <f>F61*G55</f>
        <v>208.42038988576687</v>
      </c>
      <c r="H61" s="21">
        <f>F61*H55</f>
        <v>619.74009972655188</v>
      </c>
      <c r="I61" s="21">
        <f>G50*B61/1000</f>
        <v>5519.7995850000007</v>
      </c>
      <c r="J61" s="21">
        <f t="shared" si="2"/>
        <v>7038.0938159559182</v>
      </c>
      <c r="K61" s="21">
        <f t="shared" si="3"/>
        <v>3.0950280633051528</v>
      </c>
    </row>
    <row r="62" spans="1:11">
      <c r="A62" t="s">
        <v>44</v>
      </c>
      <c r="B62" s="74">
        <f ca="1">Исх.данные!I8</f>
        <v>158.5</v>
      </c>
      <c r="C62" s="21">
        <f t="shared" si="4"/>
        <v>45.29</v>
      </c>
      <c r="D62">
        <f ca="1">Исх.данные!F54</f>
        <v>1.1200000000000001</v>
      </c>
      <c r="E62" s="21">
        <f>C62*B62/1000*F11</f>
        <v>515.38917264870167</v>
      </c>
      <c r="F62" s="21">
        <f t="shared" si="1"/>
        <v>577.23587336654589</v>
      </c>
      <c r="G62" s="21">
        <f>F62*G55</f>
        <v>174.32523375669686</v>
      </c>
      <c r="H62" s="21">
        <f>F62*H55</f>
        <v>518.35781428315818</v>
      </c>
      <c r="I62" s="21">
        <f>G50*B62/1000</f>
        <v>4616.8244549999999</v>
      </c>
      <c r="J62" s="21">
        <f t="shared" si="2"/>
        <v>5886.7433764064008</v>
      </c>
      <c r="K62" s="21">
        <f t="shared" si="3"/>
        <v>3.0950280633051528</v>
      </c>
    </row>
    <row r="63" spans="1:11">
      <c r="A63" t="s">
        <v>45</v>
      </c>
      <c r="B63" s="74">
        <f ca="1">Исх.данные!J8</f>
        <v>551.6</v>
      </c>
      <c r="C63" s="21">
        <f t="shared" si="4"/>
        <v>45.29</v>
      </c>
      <c r="D63">
        <f ca="1">Исх.данные!F54</f>
        <v>1.1200000000000001</v>
      </c>
      <c r="E63" s="21">
        <f>C63*B63/1000*F11</f>
        <v>1793.61935415157</v>
      </c>
      <c r="F63" s="21">
        <f t="shared" si="1"/>
        <v>2008.8536766497584</v>
      </c>
      <c r="G63" s="21">
        <f>F63*G55</f>
        <v>606.67381034822699</v>
      </c>
      <c r="H63" s="21">
        <f>F63*H55</f>
        <v>1803.9506016314831</v>
      </c>
      <c r="I63" s="21">
        <f>G50*B63/1000</f>
        <v>16067.131668000004</v>
      </c>
      <c r="J63" s="21">
        <f t="shared" si="2"/>
        <v>20486.60975662947</v>
      </c>
      <c r="K63" s="21">
        <f t="shared" si="3"/>
        <v>3.0950280633051532</v>
      </c>
    </row>
    <row r="64" spans="1:11">
      <c r="A64" t="s">
        <v>46</v>
      </c>
      <c r="B64" s="74">
        <f ca="1">Исх.данные!K8</f>
        <v>43.3</v>
      </c>
      <c r="C64" s="21">
        <f t="shared" si="4"/>
        <v>45.29</v>
      </c>
      <c r="D64">
        <f ca="1">Исх.данные!F54</f>
        <v>1.1200000000000001</v>
      </c>
      <c r="E64" s="21">
        <f>C64*B64/1000*F11</f>
        <v>140.79716830087557</v>
      </c>
      <c r="F64" s="21">
        <f t="shared" si="1"/>
        <v>157.69282849698064</v>
      </c>
      <c r="G64" s="21">
        <f>F64*G55</f>
        <v>47.623234206088149</v>
      </c>
      <c r="H64" s="21">
        <f>F64*H55</f>
        <v>141.60815999028861</v>
      </c>
      <c r="I64" s="21">
        <f>G50*B64/1000</f>
        <v>1261.2523590000001</v>
      </c>
      <c r="J64" s="21">
        <f t="shared" si="2"/>
        <v>1608.1765816933575</v>
      </c>
      <c r="K64" s="21">
        <f t="shared" si="3"/>
        <v>3.0950280633051532</v>
      </c>
    </row>
    <row r="65" spans="1:11">
      <c r="A65" t="s">
        <v>175</v>
      </c>
      <c r="B65" s="74">
        <f ca="1">Исх.данные!L8</f>
        <v>1291.4000000000001</v>
      </c>
      <c r="C65" s="21">
        <f t="shared" si="4"/>
        <v>45.29</v>
      </c>
      <c r="D65">
        <f ca="1">Исх.данные!F54</f>
        <v>1.1200000000000001</v>
      </c>
      <c r="E65" s="21">
        <f>C65*B65/1000*F11</f>
        <v>4199.2023820727654</v>
      </c>
      <c r="F65" s="21">
        <f t="shared" si="1"/>
        <v>4703.1066679214973</v>
      </c>
      <c r="G65" s="21">
        <f>F65*G55</f>
        <v>1420.3382137122921</v>
      </c>
      <c r="H65" s="21">
        <f>F65*H55</f>
        <v>4223.3897877935051</v>
      </c>
      <c r="I65" s="21">
        <f>G50*B65/1000</f>
        <v>37616.196222000013</v>
      </c>
      <c r="J65" s="21">
        <f t="shared" si="2"/>
        <v>47963.030891427305</v>
      </c>
      <c r="K65" s="21">
        <f t="shared" si="3"/>
        <v>3.0950280633051532</v>
      </c>
    </row>
    <row r="67" spans="1:11">
      <c r="A67" s="75" t="s">
        <v>322</v>
      </c>
    </row>
    <row r="68" spans="1:11">
      <c r="A68" s="84" t="str">
        <f>A4</f>
        <v>Часовая ставка 1 разряда (руб/час)</v>
      </c>
      <c r="B68" s="84"/>
      <c r="C68" s="84"/>
      <c r="D68" s="84"/>
      <c r="K68" s="21">
        <f>K4</f>
        <v>42.587560386473434</v>
      </c>
    </row>
    <row r="69" spans="1:11">
      <c r="A69" s="84" t="s">
        <v>325</v>
      </c>
      <c r="B69" s="84"/>
      <c r="C69" s="84"/>
      <c r="D69" s="84"/>
    </row>
    <row r="70" spans="1:11">
      <c r="A70" s="48" t="s">
        <v>252</v>
      </c>
      <c r="B70" s="147"/>
      <c r="C70" s="134" t="s">
        <v>187</v>
      </c>
      <c r="D70" s="134" t="s">
        <v>255</v>
      </c>
      <c r="E70" s="134" t="s">
        <v>256</v>
      </c>
      <c r="F70" s="134" t="s">
        <v>258</v>
      </c>
    </row>
    <row r="71" spans="1:11">
      <c r="A71" s="49"/>
      <c r="B71" s="80"/>
      <c r="C71" s="54" t="s">
        <v>254</v>
      </c>
      <c r="D71" s="54"/>
      <c r="E71" s="54" t="s">
        <v>257</v>
      </c>
      <c r="F71" s="54" t="s">
        <v>259</v>
      </c>
    </row>
    <row r="72" spans="1:11">
      <c r="A72" t="s">
        <v>326</v>
      </c>
      <c r="C72">
        <v>0.03</v>
      </c>
      <c r="D72">
        <v>4</v>
      </c>
      <c r="E72" s="21">
        <f ca="1">Исх.данные!F40</f>
        <v>1.73</v>
      </c>
    </row>
    <row r="73" spans="1:11">
      <c r="C73">
        <v>0.09</v>
      </c>
      <c r="D73">
        <v>3</v>
      </c>
      <c r="E73" s="21">
        <f ca="1">Исх.данные!E40</f>
        <v>1.59</v>
      </c>
    </row>
    <row r="74" spans="1:11">
      <c r="C74">
        <v>0.06</v>
      </c>
      <c r="D74">
        <v>2</v>
      </c>
      <c r="E74" s="21">
        <f ca="1">Исх.данные!D40</f>
        <v>1.36</v>
      </c>
    </row>
    <row r="75" spans="1:11">
      <c r="C75">
        <v>0.03</v>
      </c>
      <c r="D75">
        <v>1</v>
      </c>
      <c r="E75" s="21">
        <v>1</v>
      </c>
    </row>
    <row r="76" spans="1:11">
      <c r="A76" t="s">
        <v>324</v>
      </c>
      <c r="C76">
        <v>0.03</v>
      </c>
      <c r="D76">
        <v>1</v>
      </c>
      <c r="E76" s="21">
        <v>1</v>
      </c>
    </row>
    <row r="77" spans="1:11">
      <c r="A77" t="s">
        <v>261</v>
      </c>
      <c r="C77">
        <f>SUM(C72:C76)</f>
        <v>0.24</v>
      </c>
      <c r="F77" s="21">
        <f>(C72*E72+C73*E73+C74*E74+C75+C76)/C77*K68</f>
        <v>59.729053442028999</v>
      </c>
    </row>
    <row r="79" spans="1:11" ht="13.5" thickBot="1">
      <c r="A79" t="s">
        <v>262</v>
      </c>
    </row>
    <row r="80" spans="1:11">
      <c r="B80" s="95" t="s">
        <v>135</v>
      </c>
      <c r="C80" s="118"/>
      <c r="D80" s="118"/>
      <c r="E80" s="89" t="s">
        <v>187</v>
      </c>
      <c r="F80" s="130" t="s">
        <v>88</v>
      </c>
      <c r="G80" s="139" t="s">
        <v>189</v>
      </c>
      <c r="H80" s="83"/>
      <c r="I80" s="83"/>
    </row>
    <row r="81" spans="1:11">
      <c r="B81" s="97" t="s">
        <v>74</v>
      </c>
      <c r="C81" s="83"/>
      <c r="D81" s="82"/>
      <c r="E81" s="141" t="s">
        <v>188</v>
      </c>
      <c r="F81" s="100" t="s">
        <v>89</v>
      </c>
      <c r="G81" s="140" t="s">
        <v>192</v>
      </c>
      <c r="H81" s="83"/>
      <c r="I81" s="83"/>
    </row>
    <row r="82" spans="1:11">
      <c r="B82" s="97"/>
      <c r="C82" s="83"/>
      <c r="D82" s="82"/>
      <c r="E82" s="142" t="s">
        <v>192</v>
      </c>
      <c r="F82" s="100"/>
      <c r="G82" s="6" t="s">
        <v>233</v>
      </c>
      <c r="H82" s="36"/>
      <c r="I82" s="36"/>
    </row>
    <row r="83" spans="1:11" ht="13.5" thickBot="1">
      <c r="B83" s="104"/>
      <c r="C83" s="119"/>
      <c r="D83" s="119"/>
      <c r="E83" s="92"/>
      <c r="F83" s="102"/>
      <c r="G83" s="9" t="s">
        <v>223</v>
      </c>
      <c r="H83" s="83"/>
      <c r="I83" s="26"/>
    </row>
    <row r="84" spans="1:11">
      <c r="B84" s="65" t="s">
        <v>327</v>
      </c>
      <c r="E84" s="53">
        <v>3.73</v>
      </c>
      <c r="F84" s="21">
        <f ca="1">Цены!E26</f>
        <v>85</v>
      </c>
      <c r="G84" s="21">
        <f>E84*F84</f>
        <v>317.05</v>
      </c>
    </row>
    <row r="85" spans="1:11">
      <c r="B85" t="s">
        <v>329</v>
      </c>
      <c r="E85" s="53">
        <v>0.02</v>
      </c>
      <c r="F85" s="21">
        <f ca="1">Цены!E27</f>
        <v>80</v>
      </c>
      <c r="G85" s="21">
        <f>E85*F85</f>
        <v>1.6</v>
      </c>
    </row>
    <row r="86" spans="1:11">
      <c r="G86" s="21">
        <f>SUM(G84:G85)</f>
        <v>318.65000000000003</v>
      </c>
    </row>
    <row r="87" spans="1:11" ht="13.5" thickBot="1">
      <c r="A87" s="71" t="s">
        <v>330</v>
      </c>
      <c r="B87" s="46"/>
    </row>
    <row r="88" spans="1:11" ht="13.5" thickBot="1">
      <c r="A88" s="15" t="s">
        <v>71</v>
      </c>
      <c r="B88" s="15" t="s">
        <v>103</v>
      </c>
      <c r="C88" s="15" t="s">
        <v>108</v>
      </c>
      <c r="D88" s="22" t="s">
        <v>111</v>
      </c>
      <c r="E88" s="23"/>
      <c r="F88" s="23"/>
      <c r="G88" s="23"/>
      <c r="H88" s="23"/>
      <c r="I88" s="23"/>
      <c r="J88" s="24"/>
      <c r="K88" s="15" t="s">
        <v>124</v>
      </c>
    </row>
    <row r="89" spans="1:11">
      <c r="A89" s="6" t="s">
        <v>102</v>
      </c>
      <c r="B89" s="6" t="s">
        <v>104</v>
      </c>
      <c r="C89" s="6" t="s">
        <v>109</v>
      </c>
      <c r="D89" s="15" t="s">
        <v>114</v>
      </c>
      <c r="E89" s="15" t="s">
        <v>112</v>
      </c>
      <c r="F89" s="15" t="s">
        <v>112</v>
      </c>
      <c r="G89" s="15" t="s">
        <v>113</v>
      </c>
      <c r="H89" s="15" t="s">
        <v>116</v>
      </c>
      <c r="I89" s="15" t="s">
        <v>118</v>
      </c>
      <c r="J89" s="15" t="s">
        <v>121</v>
      </c>
      <c r="K89" s="6" t="s">
        <v>125</v>
      </c>
    </row>
    <row r="90" spans="1:11">
      <c r="A90" s="6"/>
      <c r="B90" s="6" t="s">
        <v>105</v>
      </c>
      <c r="C90" s="6" t="s">
        <v>110</v>
      </c>
      <c r="D90" s="6" t="s">
        <v>115</v>
      </c>
      <c r="E90" s="6"/>
      <c r="F90" s="6" t="s">
        <v>123</v>
      </c>
      <c r="G90" s="6"/>
      <c r="H90" s="6" t="s">
        <v>117</v>
      </c>
      <c r="I90" s="6" t="s">
        <v>119</v>
      </c>
      <c r="J90" s="6" t="s">
        <v>122</v>
      </c>
      <c r="K90" s="6" t="s">
        <v>127</v>
      </c>
    </row>
    <row r="91" spans="1:11" ht="13.5" thickBot="1">
      <c r="A91" s="9"/>
      <c r="B91" s="9" t="s">
        <v>106</v>
      </c>
      <c r="C91" s="9" t="s">
        <v>192</v>
      </c>
      <c r="D91" s="9"/>
      <c r="E91" s="9"/>
      <c r="F91" s="9"/>
      <c r="G91" s="73">
        <f ca="1">Исх.данные!F51</f>
        <v>0.30199999999999999</v>
      </c>
      <c r="H91" s="73">
        <f ca="1">Исх.данные!F52</f>
        <v>0.89800000000000002</v>
      </c>
      <c r="I91" s="9" t="s">
        <v>120</v>
      </c>
      <c r="J91" s="9" t="s">
        <v>75</v>
      </c>
      <c r="K91" s="9"/>
    </row>
    <row r="92" spans="1:11">
      <c r="A92" t="s">
        <v>16</v>
      </c>
      <c r="B92" s="74">
        <f ca="1">Исх.данные!C8</f>
        <v>2595.5</v>
      </c>
      <c r="C92" s="21">
        <f ca="1">C77</f>
        <v>0.24</v>
      </c>
      <c r="D92">
        <f ca="1">Исх.данные!F54</f>
        <v>1.1200000000000001</v>
      </c>
      <c r="E92" s="21">
        <f>C92*B92/1000*F77</f>
        <v>37.2064219701087</v>
      </c>
      <c r="F92" s="21">
        <f t="shared" ref="F92:F97" si="5">E92*D92</f>
        <v>41.67119260652175</v>
      </c>
      <c r="G92" s="21">
        <f>F92*G91</f>
        <v>12.584700167169569</v>
      </c>
      <c r="H92" s="21">
        <f>F92*H91</f>
        <v>37.420730960656535</v>
      </c>
      <c r="I92" s="21">
        <f>G86*B92/1000</f>
        <v>827.05607500000008</v>
      </c>
      <c r="J92" s="21">
        <f t="shared" ref="J92:J97" si="6">SUM(F92:I92)</f>
        <v>918.73269873434788</v>
      </c>
      <c r="K92" s="144">
        <f t="shared" ref="K92:K97" si="7">J92/12/B92</f>
        <v>2.9497614420289853E-2</v>
      </c>
    </row>
    <row r="93" spans="1:11">
      <c r="A93" t="s">
        <v>28</v>
      </c>
      <c r="B93" s="74">
        <f ca="1">Исх.данные!D8</f>
        <v>2595.5</v>
      </c>
      <c r="C93" s="21">
        <f ca="1">C77</f>
        <v>0.24</v>
      </c>
      <c r="D93">
        <f ca="1">Исх.данные!F54</f>
        <v>1.1200000000000001</v>
      </c>
      <c r="E93" s="21">
        <f>C93*B93/1000*F77</f>
        <v>37.2064219701087</v>
      </c>
      <c r="F93" s="21">
        <f t="shared" si="5"/>
        <v>41.67119260652175</v>
      </c>
      <c r="G93" s="21">
        <f>F93*G91</f>
        <v>12.584700167169569</v>
      </c>
      <c r="H93" s="21">
        <f>F93*H91</f>
        <v>37.420730960656535</v>
      </c>
      <c r="I93" s="21">
        <f>G86*B93/1000</f>
        <v>827.05607500000008</v>
      </c>
      <c r="J93" s="21">
        <f t="shared" si="6"/>
        <v>918.73269873434788</v>
      </c>
      <c r="K93" s="144">
        <f t="shared" si="7"/>
        <v>2.9497614420289853E-2</v>
      </c>
    </row>
    <row r="94" spans="1:11">
      <c r="A94" t="s">
        <v>36</v>
      </c>
      <c r="B94" s="74">
        <f ca="1">Исх.данные!E8</f>
        <v>7735.2</v>
      </c>
      <c r="C94" s="21">
        <f ca="1">C77</f>
        <v>0.24</v>
      </c>
      <c r="D94">
        <f ca="1">Исх.данные!F54</f>
        <v>1.1200000000000001</v>
      </c>
      <c r="E94" s="21">
        <f>C94*B94/1000*F77</f>
        <v>110.88388180434784</v>
      </c>
      <c r="F94" s="21">
        <f t="shared" si="5"/>
        <v>124.18994762086959</v>
      </c>
      <c r="G94" s="21">
        <f>F94*G91</f>
        <v>37.505364181502614</v>
      </c>
      <c r="H94" s="21">
        <f>F94*H91</f>
        <v>111.5225729635409</v>
      </c>
      <c r="I94" s="21">
        <f>G86*B94/1000</f>
        <v>2464.8214800000001</v>
      </c>
      <c r="J94" s="21">
        <f t="shared" si="6"/>
        <v>2738.039364765913</v>
      </c>
      <c r="K94" s="144">
        <f t="shared" si="7"/>
        <v>2.9497614420289853E-2</v>
      </c>
    </row>
    <row r="95" spans="1:11">
      <c r="A95" t="s">
        <v>39</v>
      </c>
      <c r="B95" s="74">
        <f ca="1">Исх.данные!F8</f>
        <v>7735.2</v>
      </c>
      <c r="C95" s="21">
        <f ca="1">C77</f>
        <v>0.24</v>
      </c>
      <c r="D95">
        <f ca="1">Исх.данные!F54</f>
        <v>1.1200000000000001</v>
      </c>
      <c r="E95" s="21">
        <f>C95*B95/1000*F77</f>
        <v>110.88388180434784</v>
      </c>
      <c r="F95" s="21">
        <f t="shared" si="5"/>
        <v>124.18994762086959</v>
      </c>
      <c r="G95" s="21">
        <f>F95*G91</f>
        <v>37.505364181502614</v>
      </c>
      <c r="H95" s="21">
        <f>F95*H91</f>
        <v>111.5225729635409</v>
      </c>
      <c r="I95" s="21">
        <f>G86*B95/1000</f>
        <v>2464.8214800000001</v>
      </c>
      <c r="J95" s="21">
        <f t="shared" si="6"/>
        <v>2738.039364765913</v>
      </c>
      <c r="K95" s="144">
        <f t="shared" si="7"/>
        <v>2.9497614420289853E-2</v>
      </c>
    </row>
    <row r="96" spans="1:11">
      <c r="A96" t="s">
        <v>64</v>
      </c>
      <c r="B96" s="74">
        <f ca="1">Исх.данные!G8</f>
        <v>7735.2</v>
      </c>
      <c r="C96" s="21">
        <f ca="1">C77</f>
        <v>0.24</v>
      </c>
      <c r="D96">
        <f ca="1">Исх.данные!F54</f>
        <v>1.1200000000000001</v>
      </c>
      <c r="E96" s="21">
        <f>C96*B96/1000*F77</f>
        <v>110.88388180434784</v>
      </c>
      <c r="F96" s="21">
        <f t="shared" si="5"/>
        <v>124.18994762086959</v>
      </c>
      <c r="G96" s="21">
        <f>F96*G91</f>
        <v>37.505364181502614</v>
      </c>
      <c r="H96" s="21">
        <f>F96*H91</f>
        <v>111.5225729635409</v>
      </c>
      <c r="I96" s="21">
        <f>G86*B96/1000</f>
        <v>2464.8214800000001</v>
      </c>
      <c r="J96" s="21">
        <f t="shared" si="6"/>
        <v>2738.039364765913</v>
      </c>
      <c r="K96" s="144">
        <f t="shared" si="7"/>
        <v>2.9497614420289853E-2</v>
      </c>
    </row>
    <row r="97" spans="1:11">
      <c r="A97" t="s">
        <v>175</v>
      </c>
      <c r="B97" s="74">
        <f ca="1">Исх.данные!L8</f>
        <v>1291.4000000000001</v>
      </c>
      <c r="C97" s="21">
        <f ca="1">C77</f>
        <v>0.24</v>
      </c>
      <c r="D97">
        <f ca="1">Исх.данные!F54</f>
        <v>1.1200000000000001</v>
      </c>
      <c r="E97" s="21">
        <f>C97*B97/1000*F77</f>
        <v>18.512183907608701</v>
      </c>
      <c r="F97" s="21">
        <f t="shared" si="5"/>
        <v>20.733645976521746</v>
      </c>
      <c r="G97" s="21">
        <f>F97*G91</f>
        <v>6.2615610849095669</v>
      </c>
      <c r="H97" s="21">
        <f>F97*H91</f>
        <v>18.61881408691653</v>
      </c>
      <c r="I97" s="21">
        <f>G86*B97/1000</f>
        <v>411.50461000000007</v>
      </c>
      <c r="J97" s="21">
        <f t="shared" si="6"/>
        <v>457.1186311483479</v>
      </c>
      <c r="K97" s="144">
        <f t="shared" si="7"/>
        <v>2.9497614420289857E-2</v>
      </c>
    </row>
    <row r="99" spans="1:11">
      <c r="A99" s="75" t="s">
        <v>409</v>
      </c>
    </row>
    <row r="100" spans="1:11">
      <c r="A100" s="84" t="str">
        <f>A4</f>
        <v>Часовая ставка 1 разряда (руб/час)</v>
      </c>
      <c r="B100" s="84"/>
      <c r="C100" s="84"/>
      <c r="D100" s="84"/>
      <c r="K100" s="21">
        <f>K4</f>
        <v>42.587560386473434</v>
      </c>
    </row>
    <row r="101" spans="1:11">
      <c r="A101" s="84" t="s">
        <v>398</v>
      </c>
      <c r="B101" s="84"/>
      <c r="C101" s="84"/>
      <c r="D101" s="84"/>
    </row>
    <row r="102" spans="1:11">
      <c r="A102" s="48" t="s">
        <v>252</v>
      </c>
      <c r="B102" s="147"/>
      <c r="C102" s="134" t="s">
        <v>187</v>
      </c>
      <c r="D102" s="134" t="s">
        <v>255</v>
      </c>
      <c r="E102" s="134" t="s">
        <v>256</v>
      </c>
      <c r="F102" s="134" t="s">
        <v>258</v>
      </c>
    </row>
    <row r="103" spans="1:11">
      <c r="A103" s="49"/>
      <c r="B103" s="80"/>
      <c r="C103" s="54" t="s">
        <v>254</v>
      </c>
      <c r="D103" s="54"/>
      <c r="E103" s="54" t="s">
        <v>257</v>
      </c>
      <c r="F103" s="54" t="s">
        <v>259</v>
      </c>
    </row>
    <row r="104" spans="1:11">
      <c r="A104" t="s">
        <v>397</v>
      </c>
      <c r="C104">
        <v>2.52</v>
      </c>
      <c r="D104">
        <v>4</v>
      </c>
      <c r="E104" s="21">
        <f ca="1">Исх.данные!F40</f>
        <v>1.73</v>
      </c>
      <c r="F104" s="21">
        <f>E104*K100</f>
        <v>73.676479468599041</v>
      </c>
    </row>
    <row r="105" spans="1:11" ht="13.5" thickBot="1">
      <c r="A105" t="s">
        <v>399</v>
      </c>
    </row>
    <row r="106" spans="1:11">
      <c r="B106" s="95" t="s">
        <v>135</v>
      </c>
      <c r="C106" s="118"/>
      <c r="D106" s="118"/>
      <c r="E106" s="89" t="s">
        <v>187</v>
      </c>
      <c r="F106" s="130" t="s">
        <v>88</v>
      </c>
      <c r="G106" s="139" t="s">
        <v>189</v>
      </c>
      <c r="H106" s="83"/>
      <c r="I106" s="83"/>
    </row>
    <row r="107" spans="1:11">
      <c r="B107" s="97" t="s">
        <v>74</v>
      </c>
      <c r="C107" s="83"/>
      <c r="D107" s="82"/>
      <c r="E107" s="141" t="s">
        <v>188</v>
      </c>
      <c r="F107" s="100" t="s">
        <v>89</v>
      </c>
      <c r="G107" s="140" t="s">
        <v>192</v>
      </c>
      <c r="H107" s="83"/>
      <c r="I107" s="83"/>
    </row>
    <row r="108" spans="1:11">
      <c r="B108" s="97"/>
      <c r="C108" s="83"/>
      <c r="D108" s="82"/>
      <c r="E108" s="142" t="s">
        <v>192</v>
      </c>
      <c r="F108" s="100"/>
      <c r="G108" s="6" t="s">
        <v>233</v>
      </c>
      <c r="H108" s="36"/>
      <c r="I108" s="36"/>
    </row>
    <row r="109" spans="1:11" ht="13.5" thickBot="1">
      <c r="B109" s="104"/>
      <c r="C109" s="119"/>
      <c r="D109" s="119"/>
      <c r="E109" s="92"/>
      <c r="F109" s="102"/>
      <c r="G109" s="9" t="s">
        <v>223</v>
      </c>
      <c r="H109" s="83"/>
      <c r="I109" s="26"/>
    </row>
    <row r="110" spans="1:11">
      <c r="A110" s="45" t="s">
        <v>77</v>
      </c>
      <c r="B110" s="65" t="s">
        <v>400</v>
      </c>
      <c r="C110" s="82"/>
      <c r="D110" s="82"/>
      <c r="E110" s="50">
        <v>4.7</v>
      </c>
      <c r="F110" s="159">
        <f ca="1">Цены!E28</f>
        <v>300</v>
      </c>
      <c r="G110" s="160">
        <f>E110*F110</f>
        <v>1410</v>
      </c>
      <c r="H110" s="83"/>
      <c r="I110" s="26"/>
    </row>
    <row r="111" spans="1:11">
      <c r="A111" s="45" t="s">
        <v>133</v>
      </c>
      <c r="B111" s="45" t="s">
        <v>401</v>
      </c>
      <c r="C111" s="82"/>
      <c r="D111" s="82"/>
      <c r="E111" s="50"/>
      <c r="F111" s="161"/>
      <c r="G111" s="44"/>
      <c r="H111" s="83"/>
      <c r="I111" s="26"/>
    </row>
    <row r="112" spans="1:11">
      <c r="A112" s="45" t="s">
        <v>82</v>
      </c>
      <c r="B112" s="45" t="s">
        <v>402</v>
      </c>
      <c r="C112" s="82"/>
      <c r="D112" s="82"/>
      <c r="E112" s="50">
        <v>0.87</v>
      </c>
      <c r="F112" s="161">
        <f ca="1">Цены!E30</f>
        <v>30</v>
      </c>
      <c r="G112" s="44">
        <f t="shared" ref="G112:G117" si="8">E112*F112</f>
        <v>26.1</v>
      </c>
      <c r="H112" s="83"/>
      <c r="I112" s="26"/>
    </row>
    <row r="113" spans="1:11">
      <c r="A113" s="45" t="s">
        <v>84</v>
      </c>
      <c r="B113" s="45" t="s">
        <v>403</v>
      </c>
      <c r="C113" s="82"/>
      <c r="D113" s="82"/>
      <c r="E113" s="50">
        <v>1.21</v>
      </c>
      <c r="F113" s="161">
        <f ca="1">Цены!E31</f>
        <v>38</v>
      </c>
      <c r="G113" s="44">
        <f t="shared" si="8"/>
        <v>45.98</v>
      </c>
      <c r="H113" s="83"/>
      <c r="I113" s="26"/>
    </row>
    <row r="114" spans="1:11">
      <c r="A114" s="45" t="s">
        <v>86</v>
      </c>
      <c r="B114" s="45" t="s">
        <v>404</v>
      </c>
      <c r="C114" s="82"/>
      <c r="D114" s="82"/>
      <c r="E114" s="50">
        <v>1.52</v>
      </c>
      <c r="F114" s="161">
        <f ca="1">Цены!E32</f>
        <v>42</v>
      </c>
      <c r="G114" s="44">
        <f t="shared" si="8"/>
        <v>63.84</v>
      </c>
      <c r="H114" s="83"/>
      <c r="I114" s="26"/>
    </row>
    <row r="115" spans="1:11">
      <c r="A115" s="45" t="s">
        <v>269</v>
      </c>
      <c r="B115" s="45" t="s">
        <v>405</v>
      </c>
      <c r="C115" s="82"/>
      <c r="D115" s="82"/>
      <c r="E115" s="50">
        <v>0.01</v>
      </c>
      <c r="F115" s="161">
        <f ca="1">Цены!E33</f>
        <v>75</v>
      </c>
      <c r="G115" s="44">
        <f t="shared" si="8"/>
        <v>0.75</v>
      </c>
      <c r="H115" s="83"/>
      <c r="I115" s="26"/>
    </row>
    <row r="116" spans="1:11">
      <c r="A116" s="45" t="s">
        <v>8</v>
      </c>
      <c r="B116" s="45" t="s">
        <v>406</v>
      </c>
      <c r="C116" s="82"/>
      <c r="D116" s="82"/>
      <c r="E116" s="50">
        <v>0.98</v>
      </c>
      <c r="F116" s="161">
        <f ca="1">Цены!E34</f>
        <v>145</v>
      </c>
      <c r="G116" s="44">
        <f t="shared" si="8"/>
        <v>142.1</v>
      </c>
      <c r="H116" s="83"/>
      <c r="I116" s="26"/>
    </row>
    <row r="117" spans="1:11">
      <c r="A117" s="45" t="s">
        <v>273</v>
      </c>
      <c r="B117" s="65" t="s">
        <v>407</v>
      </c>
      <c r="C117" s="82"/>
      <c r="D117" s="82"/>
      <c r="E117" s="50">
        <v>19.66</v>
      </c>
      <c r="F117" s="161">
        <f ca="1">Цены!E35</f>
        <v>20</v>
      </c>
      <c r="G117" s="44">
        <f t="shared" si="8"/>
        <v>393.2</v>
      </c>
      <c r="H117" s="83"/>
      <c r="I117" s="26"/>
    </row>
    <row r="118" spans="1:11">
      <c r="B118" s="82"/>
      <c r="C118" s="82"/>
      <c r="D118" s="82"/>
      <c r="E118" s="83"/>
      <c r="F118" s="83"/>
      <c r="G118" s="47">
        <f>SUM(G110:G117)</f>
        <v>2081.9699999999998</v>
      </c>
      <c r="H118" s="83"/>
      <c r="I118" s="26"/>
    </row>
    <row r="119" spans="1:11" ht="13.5" thickBot="1">
      <c r="A119" s="71" t="s">
        <v>410</v>
      </c>
      <c r="B119" s="46"/>
    </row>
    <row r="120" spans="1:11" ht="13.5" thickBot="1">
      <c r="A120" s="15" t="s">
        <v>71</v>
      </c>
      <c r="B120" s="15" t="s">
        <v>103</v>
      </c>
      <c r="C120" s="15" t="s">
        <v>108</v>
      </c>
      <c r="D120" s="22" t="s">
        <v>111</v>
      </c>
      <c r="E120" s="23"/>
      <c r="F120" s="23"/>
      <c r="G120" s="23"/>
      <c r="H120" s="23"/>
      <c r="I120" s="23"/>
      <c r="J120" s="24"/>
      <c r="K120" s="15" t="s">
        <v>124</v>
      </c>
    </row>
    <row r="121" spans="1:11">
      <c r="A121" s="6" t="s">
        <v>102</v>
      </c>
      <c r="B121" s="6" t="s">
        <v>104</v>
      </c>
      <c r="C121" s="6" t="s">
        <v>109</v>
      </c>
      <c r="D121" s="15" t="s">
        <v>114</v>
      </c>
      <c r="E121" s="15" t="s">
        <v>112</v>
      </c>
      <c r="F121" s="15" t="s">
        <v>112</v>
      </c>
      <c r="G121" s="15" t="s">
        <v>113</v>
      </c>
      <c r="H121" s="15" t="s">
        <v>116</v>
      </c>
      <c r="I121" s="15" t="s">
        <v>118</v>
      </c>
      <c r="J121" s="15" t="s">
        <v>121</v>
      </c>
      <c r="K121" s="6" t="s">
        <v>125</v>
      </c>
    </row>
    <row r="122" spans="1:11">
      <c r="A122" s="6"/>
      <c r="B122" s="6" t="s">
        <v>105</v>
      </c>
      <c r="C122" s="6" t="s">
        <v>110</v>
      </c>
      <c r="D122" s="6" t="s">
        <v>115</v>
      </c>
      <c r="E122" s="6"/>
      <c r="F122" s="6" t="s">
        <v>123</v>
      </c>
      <c r="G122" s="6"/>
      <c r="H122" s="6" t="s">
        <v>117</v>
      </c>
      <c r="I122" s="6" t="s">
        <v>119</v>
      </c>
      <c r="J122" s="6" t="s">
        <v>122</v>
      </c>
      <c r="K122" s="6" t="s">
        <v>127</v>
      </c>
    </row>
    <row r="123" spans="1:11" ht="13.5" thickBot="1">
      <c r="A123" s="9"/>
      <c r="B123" s="9" t="s">
        <v>106</v>
      </c>
      <c r="C123" s="9" t="s">
        <v>192</v>
      </c>
      <c r="D123" s="9"/>
      <c r="E123" s="9"/>
      <c r="F123" s="9"/>
      <c r="G123" s="73">
        <f ca="1">Исх.данные!F51</f>
        <v>0.30199999999999999</v>
      </c>
      <c r="H123" s="73">
        <f ca="1">Исх.данные!F52</f>
        <v>0.89800000000000002</v>
      </c>
      <c r="I123" s="9" t="s">
        <v>120</v>
      </c>
      <c r="J123" s="9" t="s">
        <v>75</v>
      </c>
      <c r="K123" s="9"/>
    </row>
    <row r="124" spans="1:11">
      <c r="A124" t="s">
        <v>16</v>
      </c>
      <c r="B124" s="74">
        <f ca="1">Исх.данные!C8</f>
        <v>2595.5</v>
      </c>
      <c r="C124" s="21">
        <f ca="1">C104</f>
        <v>2.52</v>
      </c>
      <c r="D124">
        <f ca="1">Исх.данные!F54</f>
        <v>1.1200000000000001</v>
      </c>
      <c r="E124" s="21">
        <f>C124*B124/1000*F104</f>
        <v>481.89280220108702</v>
      </c>
      <c r="F124" s="21">
        <f t="shared" ref="F124:F133" si="9">E124*D124</f>
        <v>539.71993846521752</v>
      </c>
      <c r="G124" s="21">
        <f>F124*G123</f>
        <v>162.99542141649567</v>
      </c>
      <c r="H124" s="21">
        <f>F124*H123</f>
        <v>484.66850474176533</v>
      </c>
      <c r="I124" s="21">
        <f>G118*B124/1000</f>
        <v>5403.7531349999999</v>
      </c>
      <c r="J124" s="21">
        <f t="shared" ref="J124:J133" si="10">SUM(F124:I124)</f>
        <v>6591.1369996234789</v>
      </c>
      <c r="K124" s="21">
        <f t="shared" ref="K124:K133" si="11">J124/12/B124</f>
        <v>0.21162065753623191</v>
      </c>
    </row>
    <row r="125" spans="1:11">
      <c r="A125" t="s">
        <v>28</v>
      </c>
      <c r="B125" s="74">
        <f ca="1">Исх.данные!D8</f>
        <v>2595.5</v>
      </c>
      <c r="C125" s="21">
        <f ca="1">C124</f>
        <v>2.52</v>
      </c>
      <c r="D125">
        <f ca="1">D124</f>
        <v>1.1200000000000001</v>
      </c>
      <c r="E125" s="21">
        <f>C125*B125/1000*F104</f>
        <v>481.89280220108702</v>
      </c>
      <c r="F125" s="21">
        <f t="shared" si="9"/>
        <v>539.71993846521752</v>
      </c>
      <c r="G125" s="21">
        <f>F125*G123</f>
        <v>162.99542141649567</v>
      </c>
      <c r="H125" s="21">
        <f>F125*H123</f>
        <v>484.66850474176533</v>
      </c>
      <c r="I125" s="21">
        <f>G118*B125/1000</f>
        <v>5403.7531349999999</v>
      </c>
      <c r="J125" s="21">
        <f t="shared" si="10"/>
        <v>6591.1369996234789</v>
      </c>
      <c r="K125" s="21">
        <f t="shared" si="11"/>
        <v>0.21162065753623191</v>
      </c>
    </row>
    <row r="126" spans="1:11">
      <c r="A126" t="s">
        <v>36</v>
      </c>
      <c r="B126" s="74">
        <f ca="1">Исх.данные!E8</f>
        <v>7735.2</v>
      </c>
      <c r="C126" s="21">
        <f t="shared" ref="C126:C133" si="12">C125</f>
        <v>2.52</v>
      </c>
      <c r="D126">
        <f t="shared" ref="D126:D133" si="13">D125</f>
        <v>1.1200000000000001</v>
      </c>
      <c r="E126" s="21">
        <f>C126*B126/1000*F104</f>
        <v>1436.1538060434782</v>
      </c>
      <c r="F126" s="21">
        <f t="shared" si="9"/>
        <v>1608.4922627686958</v>
      </c>
      <c r="G126" s="21">
        <f>F126*G123</f>
        <v>485.76466335614612</v>
      </c>
      <c r="H126" s="21">
        <f>F126*H123</f>
        <v>1444.4260519662889</v>
      </c>
      <c r="I126" s="21">
        <f>G118*B126/1000</f>
        <v>16104.454343999998</v>
      </c>
      <c r="J126" s="21">
        <f t="shared" si="10"/>
        <v>19643.13732209113</v>
      </c>
      <c r="K126" s="21">
        <f t="shared" si="11"/>
        <v>0.21162065753623188</v>
      </c>
    </row>
    <row r="127" spans="1:11">
      <c r="A127" t="s">
        <v>39</v>
      </c>
      <c r="B127" s="74">
        <f ca="1">Исх.данные!F8</f>
        <v>7735.2</v>
      </c>
      <c r="C127" s="21">
        <f t="shared" si="12"/>
        <v>2.52</v>
      </c>
      <c r="D127">
        <f t="shared" si="13"/>
        <v>1.1200000000000001</v>
      </c>
      <c r="E127" s="21">
        <f>C127*B127/1000*F104</f>
        <v>1436.1538060434782</v>
      </c>
      <c r="F127" s="21">
        <f t="shared" si="9"/>
        <v>1608.4922627686958</v>
      </c>
      <c r="G127" s="21">
        <f>F127*G123</f>
        <v>485.76466335614612</v>
      </c>
      <c r="H127" s="21">
        <f>F127*H123</f>
        <v>1444.4260519662889</v>
      </c>
      <c r="I127" s="21">
        <f>G118*B127/1000</f>
        <v>16104.454343999998</v>
      </c>
      <c r="J127" s="21">
        <f t="shared" si="10"/>
        <v>19643.13732209113</v>
      </c>
      <c r="K127" s="21">
        <f t="shared" si="11"/>
        <v>0.21162065753623188</v>
      </c>
    </row>
    <row r="128" spans="1:11">
      <c r="A128" t="s">
        <v>64</v>
      </c>
      <c r="B128" s="74">
        <f ca="1">Исх.данные!G8</f>
        <v>7735.2</v>
      </c>
      <c r="C128" s="21">
        <f t="shared" si="12"/>
        <v>2.52</v>
      </c>
      <c r="D128">
        <f t="shared" si="13"/>
        <v>1.1200000000000001</v>
      </c>
      <c r="E128" s="21">
        <f>C128*B128/1000*F104</f>
        <v>1436.1538060434782</v>
      </c>
      <c r="F128" s="21">
        <f t="shared" si="9"/>
        <v>1608.4922627686958</v>
      </c>
      <c r="G128" s="21">
        <f>F128*G123</f>
        <v>485.76466335614612</v>
      </c>
      <c r="H128" s="21">
        <f>F128*H123</f>
        <v>1444.4260519662889</v>
      </c>
      <c r="I128" s="21">
        <f>G118*B128/1000</f>
        <v>16104.454343999998</v>
      </c>
      <c r="J128" s="21">
        <f t="shared" si="10"/>
        <v>19643.13732209113</v>
      </c>
      <c r="K128" s="21">
        <f t="shared" si="11"/>
        <v>0.21162065753623188</v>
      </c>
    </row>
    <row r="129" spans="1:11">
      <c r="A129" t="s">
        <v>41</v>
      </c>
      <c r="B129" s="74">
        <f ca="1">Исх.данные!H8</f>
        <v>189.5</v>
      </c>
      <c r="C129" s="21">
        <f t="shared" si="12"/>
        <v>2.52</v>
      </c>
      <c r="D129">
        <f t="shared" si="13"/>
        <v>1.1200000000000001</v>
      </c>
      <c r="E129" s="21">
        <f>C129*B129/1000*F104</f>
        <v>35.183466005434788</v>
      </c>
      <c r="F129" s="21">
        <f t="shared" si="9"/>
        <v>39.405481926086964</v>
      </c>
      <c r="G129" s="21">
        <f>F129*G123</f>
        <v>11.900455541678262</v>
      </c>
      <c r="H129" s="21">
        <f>F129*H123</f>
        <v>35.386122769626091</v>
      </c>
      <c r="I129" s="21">
        <f>G118*B129/1000</f>
        <v>394.53331499999996</v>
      </c>
      <c r="J129" s="21">
        <f t="shared" si="10"/>
        <v>481.22537523739129</v>
      </c>
      <c r="K129" s="21">
        <f t="shared" si="11"/>
        <v>0.21162065753623188</v>
      </c>
    </row>
    <row r="130" spans="1:11">
      <c r="A130" t="s">
        <v>44</v>
      </c>
      <c r="B130" s="74">
        <f ca="1">Исх.данные!I8</f>
        <v>158.5</v>
      </c>
      <c r="C130" s="21">
        <f t="shared" si="12"/>
        <v>2.52</v>
      </c>
      <c r="D130">
        <f t="shared" si="13"/>
        <v>1.1200000000000001</v>
      </c>
      <c r="E130" s="21">
        <f>C130*B130/1000*F104</f>
        <v>29.42785942934783</v>
      </c>
      <c r="F130" s="21">
        <f t="shared" si="9"/>
        <v>32.959202560869571</v>
      </c>
      <c r="G130" s="21">
        <f>F130*G123</f>
        <v>9.9536791733826107</v>
      </c>
      <c r="H130" s="21">
        <f>F130*H123</f>
        <v>29.597363899660873</v>
      </c>
      <c r="I130" s="21">
        <f>G118*B130/1000</f>
        <v>329.99224499999997</v>
      </c>
      <c r="J130" s="21">
        <f t="shared" si="10"/>
        <v>402.502490633913</v>
      </c>
      <c r="K130" s="21">
        <f t="shared" si="11"/>
        <v>0.21162065753623185</v>
      </c>
    </row>
    <row r="131" spans="1:11">
      <c r="A131" t="s">
        <v>45</v>
      </c>
      <c r="B131" s="74">
        <f ca="1">Исх.данные!J8</f>
        <v>551.6</v>
      </c>
      <c r="C131" s="21">
        <f t="shared" si="12"/>
        <v>2.52</v>
      </c>
      <c r="D131">
        <f t="shared" si="13"/>
        <v>1.1200000000000001</v>
      </c>
      <c r="E131" s="21">
        <f>C131*B131/1000*F104</f>
        <v>102.41266410869568</v>
      </c>
      <c r="F131" s="21">
        <f t="shared" si="9"/>
        <v>114.70218380173917</v>
      </c>
      <c r="G131" s="21">
        <f>F131*G123</f>
        <v>34.640059508125226</v>
      </c>
      <c r="H131" s="21">
        <f>F131*H123</f>
        <v>103.00256105396177</v>
      </c>
      <c r="I131" s="21">
        <f>G118*B131/1000</f>
        <v>1148.4146519999999</v>
      </c>
      <c r="J131" s="21">
        <f t="shared" si="10"/>
        <v>1400.7594563638261</v>
      </c>
      <c r="K131" s="21">
        <f t="shared" si="11"/>
        <v>0.21162065753623185</v>
      </c>
    </row>
    <row r="132" spans="1:11">
      <c r="A132" t="s">
        <v>46</v>
      </c>
      <c r="B132" s="74">
        <f ca="1">Исх.данные!K8</f>
        <v>43.3</v>
      </c>
      <c r="C132" s="21">
        <f t="shared" si="12"/>
        <v>2.52</v>
      </c>
      <c r="D132">
        <f t="shared" si="13"/>
        <v>1.1200000000000001</v>
      </c>
      <c r="E132" s="21">
        <f>C132*B132/1000*F104</f>
        <v>8.0392827336956536</v>
      </c>
      <c r="F132" s="21">
        <f t="shared" si="9"/>
        <v>9.0039966617391336</v>
      </c>
      <c r="G132" s="21">
        <f>F132*G123</f>
        <v>2.7192069918452182</v>
      </c>
      <c r="H132" s="21">
        <f>F132*H123</f>
        <v>8.0855890022417416</v>
      </c>
      <c r="I132" s="21">
        <f>G118*B132/1000</f>
        <v>90.149300999999994</v>
      </c>
      <c r="J132" s="21">
        <f t="shared" si="10"/>
        <v>109.95809365582609</v>
      </c>
      <c r="K132" s="21">
        <f t="shared" si="11"/>
        <v>0.21162065753623191</v>
      </c>
    </row>
    <row r="133" spans="1:11">
      <c r="A133" t="s">
        <v>175</v>
      </c>
      <c r="B133" s="74">
        <f ca="1">Исх.данные!L8</f>
        <v>1291.4000000000001</v>
      </c>
      <c r="C133" s="21">
        <f t="shared" si="12"/>
        <v>2.52</v>
      </c>
      <c r="D133">
        <f t="shared" si="13"/>
        <v>1.1200000000000001</v>
      </c>
      <c r="E133" s="21">
        <f>C133*B133/1000*F104</f>
        <v>239.76743007608701</v>
      </c>
      <c r="F133" s="21">
        <f t="shared" si="9"/>
        <v>268.53952168521749</v>
      </c>
      <c r="G133" s="21">
        <f>F133*G123</f>
        <v>81.098935548935685</v>
      </c>
      <c r="H133" s="21">
        <f>F133*H123</f>
        <v>241.14849047332532</v>
      </c>
      <c r="I133" s="21">
        <f>G118*B133/1000</f>
        <v>2688.6560579999996</v>
      </c>
      <c r="J133" s="21">
        <f t="shared" si="10"/>
        <v>3279.4430057074778</v>
      </c>
      <c r="K133" s="21">
        <f t="shared" si="11"/>
        <v>0.21162065753623185</v>
      </c>
    </row>
    <row r="135" spans="1:11">
      <c r="A135" s="75" t="s">
        <v>411</v>
      </c>
    </row>
    <row r="136" spans="1:11">
      <c r="A136" s="84" t="str">
        <f>A4</f>
        <v>Часовая ставка 1 разряда (руб/час)</v>
      </c>
      <c r="B136" s="84"/>
      <c r="C136" s="84"/>
      <c r="D136" s="84"/>
      <c r="K136" s="21">
        <f>K4</f>
        <v>42.587560386473434</v>
      </c>
    </row>
    <row r="137" spans="1:11">
      <c r="A137" s="84" t="s">
        <v>412</v>
      </c>
      <c r="B137" s="84"/>
      <c r="C137" s="84"/>
      <c r="D137" s="84"/>
    </row>
    <row r="138" spans="1:11">
      <c r="A138" s="48" t="s">
        <v>252</v>
      </c>
      <c r="B138" s="147"/>
      <c r="C138" s="134" t="s">
        <v>187</v>
      </c>
      <c r="D138" s="134" t="s">
        <v>255</v>
      </c>
      <c r="E138" s="134" t="s">
        <v>256</v>
      </c>
      <c r="F138" s="134" t="s">
        <v>258</v>
      </c>
    </row>
    <row r="139" spans="1:11">
      <c r="A139" s="49"/>
      <c r="B139" s="80"/>
      <c r="C139" s="54" t="s">
        <v>254</v>
      </c>
      <c r="D139" s="54"/>
      <c r="E139" s="54" t="s">
        <v>257</v>
      </c>
      <c r="F139" s="54" t="s">
        <v>259</v>
      </c>
    </row>
    <row r="140" spans="1:11">
      <c r="A140" s="46" t="s">
        <v>413</v>
      </c>
      <c r="B140" s="26"/>
      <c r="C140" s="26">
        <v>2.0299999999999998</v>
      </c>
      <c r="D140" s="26">
        <v>3</v>
      </c>
      <c r="E140" s="47">
        <f ca="1">Исх.данные!E40</f>
        <v>1.59</v>
      </c>
      <c r="F140" s="26"/>
    </row>
    <row r="141" spans="1:11">
      <c r="A141" s="26"/>
      <c r="B141" s="26"/>
      <c r="C141" s="26">
        <v>0.89</v>
      </c>
      <c r="D141" s="26">
        <v>4</v>
      </c>
      <c r="E141" s="47">
        <f ca="1">Исх.данные!F40</f>
        <v>1.73</v>
      </c>
      <c r="F141" s="26"/>
    </row>
    <row r="142" spans="1:11">
      <c r="A142" s="26"/>
      <c r="B142" s="26"/>
      <c r="C142" s="26">
        <v>0.12</v>
      </c>
      <c r="D142" s="26">
        <v>5</v>
      </c>
      <c r="E142" s="47">
        <f ca="1">Исх.данные!G40</f>
        <v>1.82</v>
      </c>
      <c r="F142" s="26"/>
    </row>
    <row r="143" spans="1:11">
      <c r="A143" s="26" t="s">
        <v>414</v>
      </c>
      <c r="B143" s="26"/>
      <c r="C143" s="46">
        <v>0.57999999999999996</v>
      </c>
      <c r="D143" s="46">
        <v>3</v>
      </c>
      <c r="E143" s="47">
        <f ca="1">Исх.данные!E40</f>
        <v>1.59</v>
      </c>
      <c r="F143" s="26"/>
    </row>
    <row r="144" spans="1:11">
      <c r="A144" s="26" t="s">
        <v>415</v>
      </c>
      <c r="B144" s="26"/>
      <c r="C144" s="46">
        <v>7.0000000000000007E-2</v>
      </c>
      <c r="D144" s="46">
        <v>3</v>
      </c>
      <c r="E144" s="47">
        <f ca="1">Исх.данные!E40</f>
        <v>1.59</v>
      </c>
      <c r="F144" s="26"/>
    </row>
    <row r="145" spans="1:9">
      <c r="A145" s="46" t="s">
        <v>416</v>
      </c>
      <c r="B145" s="26"/>
      <c r="C145" s="46">
        <v>0.16</v>
      </c>
      <c r="D145" s="46">
        <v>3</v>
      </c>
      <c r="E145" s="47">
        <f ca="1">Исх.данные!E40</f>
        <v>1.59</v>
      </c>
      <c r="F145" s="26"/>
    </row>
    <row r="146" spans="1:9">
      <c r="C146">
        <f>SUM(C140:C145)</f>
        <v>3.85</v>
      </c>
      <c r="E146" s="21"/>
      <c r="F146" s="21">
        <f>((C140+C143+C144+C145)*E140+C141*E141+C142*E142)/C146*K136</f>
        <v>69.397812362758017</v>
      </c>
    </row>
    <row r="147" spans="1:9" ht="13.5" thickBot="1">
      <c r="A147" t="s">
        <v>417</v>
      </c>
    </row>
    <row r="148" spans="1:9">
      <c r="B148" s="95" t="s">
        <v>135</v>
      </c>
      <c r="C148" s="118"/>
      <c r="D148" s="118"/>
      <c r="E148" s="89" t="s">
        <v>187</v>
      </c>
      <c r="F148" s="130" t="s">
        <v>88</v>
      </c>
      <c r="G148" s="139" t="s">
        <v>189</v>
      </c>
      <c r="H148" s="83"/>
      <c r="I148" s="83"/>
    </row>
    <row r="149" spans="1:9">
      <c r="B149" s="97" t="s">
        <v>74</v>
      </c>
      <c r="C149" s="83"/>
      <c r="D149" s="82"/>
      <c r="E149" s="141" t="s">
        <v>188</v>
      </c>
      <c r="F149" s="100" t="s">
        <v>89</v>
      </c>
      <c r="G149" s="140" t="s">
        <v>192</v>
      </c>
      <c r="H149" s="83"/>
      <c r="I149" s="83"/>
    </row>
    <row r="150" spans="1:9">
      <c r="B150" s="97"/>
      <c r="C150" s="83"/>
      <c r="D150" s="82"/>
      <c r="E150" s="142" t="s">
        <v>192</v>
      </c>
      <c r="F150" s="100"/>
      <c r="G150" s="6" t="s">
        <v>233</v>
      </c>
      <c r="H150" s="36"/>
      <c r="I150" s="36"/>
    </row>
    <row r="151" spans="1:9" ht="13.5" thickBot="1">
      <c r="B151" s="104"/>
      <c r="C151" s="119"/>
      <c r="D151" s="119"/>
      <c r="E151" s="92"/>
      <c r="F151" s="102"/>
      <c r="G151" s="9" t="s">
        <v>223</v>
      </c>
      <c r="H151" s="83"/>
      <c r="I151" s="26"/>
    </row>
    <row r="152" spans="1:9">
      <c r="B152" s="45" t="s">
        <v>418</v>
      </c>
      <c r="C152" s="82"/>
      <c r="D152" s="82"/>
      <c r="E152" s="171">
        <v>0.48</v>
      </c>
      <c r="F152" s="158">
        <f ca="1">Цены!E36</f>
        <v>32</v>
      </c>
      <c r="G152" s="70">
        <f>E152*F152</f>
        <v>15.36</v>
      </c>
      <c r="H152" s="83"/>
      <c r="I152" s="26"/>
    </row>
    <row r="153" spans="1:9">
      <c r="B153" s="45" t="s">
        <v>419</v>
      </c>
      <c r="C153" s="82"/>
      <c r="D153" s="82"/>
      <c r="E153" s="169">
        <v>0.2</v>
      </c>
      <c r="F153" s="161">
        <f ca="1">Цены!E37</f>
        <v>40</v>
      </c>
      <c r="G153" s="44">
        <f t="shared" ref="G153:G167" si="14">E153*F153</f>
        <v>8</v>
      </c>
      <c r="H153" s="83"/>
      <c r="I153" s="26"/>
    </row>
    <row r="154" spans="1:9">
      <c r="B154" s="45" t="s">
        <v>420</v>
      </c>
      <c r="C154" s="82"/>
      <c r="D154" s="82"/>
      <c r="E154" s="169">
        <v>0.16</v>
      </c>
      <c r="F154" s="161">
        <f ca="1">Цены!E38</f>
        <v>65</v>
      </c>
      <c r="G154" s="44">
        <f t="shared" si="14"/>
        <v>10.4</v>
      </c>
      <c r="H154" s="83"/>
      <c r="I154" s="26"/>
    </row>
    <row r="155" spans="1:9">
      <c r="B155" s="45" t="s">
        <v>421</v>
      </c>
      <c r="C155" s="82"/>
      <c r="D155" s="82"/>
      <c r="E155" s="170">
        <v>0.317</v>
      </c>
      <c r="F155" s="161">
        <f ca="1">Цены!E39</f>
        <v>10</v>
      </c>
      <c r="G155" s="44">
        <f t="shared" si="14"/>
        <v>3.17</v>
      </c>
      <c r="H155" s="83"/>
      <c r="I155" s="26"/>
    </row>
    <row r="156" spans="1:9">
      <c r="B156" s="45" t="s">
        <v>422</v>
      </c>
      <c r="C156" s="82"/>
      <c r="D156" s="82"/>
      <c r="E156" s="170">
        <v>0.63300000000000001</v>
      </c>
      <c r="F156" s="161">
        <f ca="1">Цены!E40</f>
        <v>2.4</v>
      </c>
      <c r="G156" s="44">
        <f t="shared" si="14"/>
        <v>1.5191999999999999</v>
      </c>
      <c r="H156" s="83"/>
      <c r="I156" s="26"/>
    </row>
    <row r="157" spans="1:9">
      <c r="B157" s="134" t="s">
        <v>423</v>
      </c>
      <c r="C157" s="82"/>
      <c r="D157" s="82"/>
      <c r="E157" s="169"/>
      <c r="F157" s="161"/>
      <c r="G157" s="44">
        <f t="shared" si="14"/>
        <v>0</v>
      </c>
      <c r="H157" s="83"/>
      <c r="I157" s="26"/>
    </row>
    <row r="158" spans="1:9">
      <c r="B158" s="65" t="s">
        <v>432</v>
      </c>
      <c r="C158" s="82"/>
      <c r="D158" s="82"/>
      <c r="E158" s="169">
        <v>0.02</v>
      </c>
      <c r="F158" s="161">
        <f ca="1">Цены!E42</f>
        <v>18700</v>
      </c>
      <c r="G158" s="44">
        <f t="shared" si="14"/>
        <v>374</v>
      </c>
      <c r="H158" s="83"/>
      <c r="I158" s="26"/>
    </row>
    <row r="159" spans="1:9">
      <c r="B159" s="45" t="s">
        <v>424</v>
      </c>
      <c r="C159" s="82"/>
      <c r="D159" s="82"/>
      <c r="E159" s="169">
        <v>0.38</v>
      </c>
      <c r="F159" s="161">
        <f ca="1">Цены!E43</f>
        <v>225</v>
      </c>
      <c r="G159" s="44">
        <f t="shared" si="14"/>
        <v>85.5</v>
      </c>
      <c r="H159" s="83"/>
      <c r="I159" s="26"/>
    </row>
    <row r="160" spans="1:9" ht="15" customHeight="1">
      <c r="B160" s="427" t="s">
        <v>425</v>
      </c>
      <c r="C160" s="428"/>
      <c r="D160" s="428"/>
      <c r="E160" s="169">
        <v>0.79</v>
      </c>
      <c r="F160" s="161">
        <f ca="1">Цены!E44</f>
        <v>40</v>
      </c>
      <c r="G160" s="44">
        <f t="shared" si="14"/>
        <v>31.6</v>
      </c>
      <c r="H160" s="83"/>
      <c r="I160" s="26"/>
    </row>
    <row r="161" spans="1:11">
      <c r="B161" s="65" t="s">
        <v>426</v>
      </c>
      <c r="C161" s="82"/>
      <c r="D161" s="82"/>
      <c r="E161" s="169">
        <v>0.09</v>
      </c>
      <c r="F161" s="161">
        <f ca="1">Цены!E45</f>
        <v>85</v>
      </c>
      <c r="G161" s="44">
        <f t="shared" si="14"/>
        <v>7.6499999999999995</v>
      </c>
      <c r="H161" s="83"/>
      <c r="I161" s="26"/>
    </row>
    <row r="162" spans="1:11">
      <c r="B162" s="45" t="s">
        <v>427</v>
      </c>
      <c r="C162" s="82"/>
      <c r="D162" s="82"/>
      <c r="E162" s="50">
        <v>0.02</v>
      </c>
      <c r="F162" s="161">
        <f ca="1">Цены!E46</f>
        <v>570</v>
      </c>
      <c r="G162" s="44">
        <f t="shared" si="14"/>
        <v>11.4</v>
      </c>
      <c r="H162" s="83"/>
      <c r="I162" s="26"/>
    </row>
    <row r="163" spans="1:11">
      <c r="B163" s="134" t="s">
        <v>428</v>
      </c>
      <c r="C163" s="82"/>
      <c r="D163" s="82"/>
      <c r="E163" s="50">
        <v>1E-3</v>
      </c>
      <c r="F163" s="161">
        <f ca="1">Цены!E47</f>
        <v>5800</v>
      </c>
      <c r="G163" s="44">
        <f t="shared" si="14"/>
        <v>5.8</v>
      </c>
      <c r="H163" s="83"/>
      <c r="I163" s="26"/>
    </row>
    <row r="164" spans="1:11">
      <c r="B164" s="65" t="s">
        <v>429</v>
      </c>
      <c r="C164" s="82"/>
      <c r="D164" s="82"/>
      <c r="E164" s="50">
        <v>2.5999999999999999E-2</v>
      </c>
      <c r="F164" s="161">
        <f ca="1">Цены!E48</f>
        <v>250</v>
      </c>
      <c r="G164" s="44">
        <f t="shared" si="14"/>
        <v>6.5</v>
      </c>
      <c r="H164" s="83"/>
      <c r="I164" s="26"/>
    </row>
    <row r="165" spans="1:11">
      <c r="B165" s="134" t="s">
        <v>433</v>
      </c>
      <c r="C165" s="82"/>
      <c r="D165" s="82"/>
      <c r="E165" s="50">
        <v>9.0999999999999998E-2</v>
      </c>
      <c r="F165" s="161">
        <f ca="1">Цены!E49</f>
        <v>130</v>
      </c>
      <c r="G165" s="44">
        <f t="shared" si="14"/>
        <v>11.83</v>
      </c>
      <c r="H165" s="83"/>
      <c r="I165" s="26"/>
    </row>
    <row r="166" spans="1:11">
      <c r="B166" s="45" t="s">
        <v>430</v>
      </c>
      <c r="C166" s="82"/>
      <c r="D166" s="82"/>
      <c r="E166" s="50">
        <v>8.9999999999999993E-3</v>
      </c>
      <c r="F166" s="161">
        <f ca="1">Цены!E50</f>
        <v>294</v>
      </c>
      <c r="G166" s="44">
        <f t="shared" si="14"/>
        <v>2.6459999999999999</v>
      </c>
      <c r="H166" s="83"/>
      <c r="I166" s="26"/>
    </row>
    <row r="167" spans="1:11">
      <c r="B167" s="45" t="s">
        <v>431</v>
      </c>
      <c r="C167" s="82"/>
      <c r="D167" s="82"/>
      <c r="E167" s="50">
        <v>0.02</v>
      </c>
      <c r="F167" s="161">
        <f ca="1">Цены!E51</f>
        <v>120</v>
      </c>
      <c r="G167" s="44">
        <f t="shared" si="14"/>
        <v>2.4</v>
      </c>
      <c r="H167" s="83"/>
      <c r="I167" s="26"/>
    </row>
    <row r="168" spans="1:11">
      <c r="B168" s="82"/>
      <c r="C168" s="82"/>
      <c r="D168" s="82"/>
      <c r="E168" s="83"/>
      <c r="F168" s="83"/>
      <c r="G168" s="47">
        <f>SUM(G152:G167)</f>
        <v>577.77519999999993</v>
      </c>
      <c r="H168" s="83"/>
      <c r="I168" s="26"/>
    </row>
    <row r="169" spans="1:11" ht="13.5" thickBot="1">
      <c r="A169" s="71" t="s">
        <v>435</v>
      </c>
      <c r="B169" s="46"/>
    </row>
    <row r="170" spans="1:11" ht="13.5" thickBot="1">
      <c r="A170" s="15" t="s">
        <v>71</v>
      </c>
      <c r="B170" s="15" t="s">
        <v>103</v>
      </c>
      <c r="C170" s="15" t="s">
        <v>108</v>
      </c>
      <c r="D170" s="22" t="s">
        <v>111</v>
      </c>
      <c r="E170" s="23"/>
      <c r="F170" s="23"/>
      <c r="G170" s="23"/>
      <c r="H170" s="23"/>
      <c r="I170" s="23"/>
      <c r="J170" s="24"/>
      <c r="K170" s="15" t="s">
        <v>124</v>
      </c>
    </row>
    <row r="171" spans="1:11">
      <c r="A171" s="6" t="s">
        <v>102</v>
      </c>
      <c r="B171" s="6" t="s">
        <v>104</v>
      </c>
      <c r="C171" s="6" t="s">
        <v>109</v>
      </c>
      <c r="D171" s="15" t="s">
        <v>114</v>
      </c>
      <c r="E171" s="15" t="s">
        <v>112</v>
      </c>
      <c r="F171" s="15" t="s">
        <v>112</v>
      </c>
      <c r="G171" s="15" t="s">
        <v>113</v>
      </c>
      <c r="H171" s="15" t="s">
        <v>116</v>
      </c>
      <c r="I171" s="15" t="s">
        <v>118</v>
      </c>
      <c r="J171" s="15" t="s">
        <v>121</v>
      </c>
      <c r="K171" s="6" t="s">
        <v>125</v>
      </c>
    </row>
    <row r="172" spans="1:11">
      <c r="A172" s="6"/>
      <c r="B172" s="6" t="s">
        <v>105</v>
      </c>
      <c r="C172" s="6" t="s">
        <v>110</v>
      </c>
      <c r="D172" s="6" t="s">
        <v>115</v>
      </c>
      <c r="E172" s="6"/>
      <c r="F172" s="6" t="s">
        <v>123</v>
      </c>
      <c r="G172" s="6"/>
      <c r="H172" s="6" t="s">
        <v>117</v>
      </c>
      <c r="I172" s="6" t="s">
        <v>119</v>
      </c>
      <c r="J172" s="6" t="s">
        <v>122</v>
      </c>
      <c r="K172" s="6" t="s">
        <v>127</v>
      </c>
    </row>
    <row r="173" spans="1:11" ht="13.5" thickBot="1">
      <c r="A173" s="9"/>
      <c r="B173" s="9" t="s">
        <v>106</v>
      </c>
      <c r="C173" s="9" t="s">
        <v>192</v>
      </c>
      <c r="D173" s="9"/>
      <c r="E173" s="9"/>
      <c r="F173" s="9"/>
      <c r="G173" s="73">
        <f ca="1">Исх.данные!F51</f>
        <v>0.30199999999999999</v>
      </c>
      <c r="H173" s="73">
        <f ca="1">Исх.данные!F52</f>
        <v>0.89800000000000002</v>
      </c>
      <c r="I173" s="9" t="s">
        <v>120</v>
      </c>
      <c r="J173" s="9" t="s">
        <v>75</v>
      </c>
      <c r="K173" s="9"/>
    </row>
    <row r="174" spans="1:11">
      <c r="A174" t="s">
        <v>16</v>
      </c>
      <c r="B174" s="74">
        <f ca="1">Исх.данные!C8</f>
        <v>2595.5</v>
      </c>
      <c r="C174" s="21">
        <f ca="1">C146</f>
        <v>3.85</v>
      </c>
      <c r="D174">
        <f ca="1">Исх.данные!F54</f>
        <v>1.1200000000000001</v>
      </c>
      <c r="E174" s="21">
        <f>C174*B174/1000*F146</f>
        <v>693.46978465202312</v>
      </c>
      <c r="F174" s="21">
        <f t="shared" ref="F174:F183" si="15">E174*D174</f>
        <v>776.68615881026597</v>
      </c>
      <c r="G174" s="21">
        <f>F174*G173</f>
        <v>234.55921996070032</v>
      </c>
      <c r="H174" s="21">
        <f>F174*H173</f>
        <v>697.4641706116189</v>
      </c>
      <c r="I174" s="21">
        <f>G168*B174/1000</f>
        <v>1499.6155315999999</v>
      </c>
      <c r="J174" s="21">
        <f t="shared" ref="J174:J183" si="16">SUM(F174:I174)</f>
        <v>3208.325080982585</v>
      </c>
      <c r="K174" s="21">
        <f t="shared" ref="K174:K183" si="17">J174/12/B174</f>
        <v>0.10300921726650564</v>
      </c>
    </row>
    <row r="175" spans="1:11">
      <c r="A175" t="s">
        <v>28</v>
      </c>
      <c r="B175" s="74">
        <f ca="1">Исх.данные!D8</f>
        <v>2595.5</v>
      </c>
      <c r="C175" s="21">
        <f ca="1">C174</f>
        <v>3.85</v>
      </c>
      <c r="D175">
        <f ca="1">D174</f>
        <v>1.1200000000000001</v>
      </c>
      <c r="E175" s="21">
        <f>C175*B175/1000*F146</f>
        <v>693.46978465202312</v>
      </c>
      <c r="F175" s="21">
        <f t="shared" si="15"/>
        <v>776.68615881026597</v>
      </c>
      <c r="G175" s="21">
        <f>F175*G173</f>
        <v>234.55921996070032</v>
      </c>
      <c r="H175" s="21">
        <f>F175*H173</f>
        <v>697.4641706116189</v>
      </c>
      <c r="I175" s="21">
        <f>G168*B175/1000</f>
        <v>1499.6155315999999</v>
      </c>
      <c r="J175" s="21">
        <f t="shared" si="16"/>
        <v>3208.325080982585</v>
      </c>
      <c r="K175" s="21">
        <f t="shared" si="17"/>
        <v>0.10300921726650564</v>
      </c>
    </row>
    <row r="176" spans="1:11">
      <c r="A176" t="s">
        <v>36</v>
      </c>
      <c r="B176" s="74">
        <f ca="1">Исх.данные!E8</f>
        <v>7735.2</v>
      </c>
      <c r="C176" s="21">
        <f t="shared" ref="C176:C183" si="18">C175</f>
        <v>3.85</v>
      </c>
      <c r="D176">
        <f t="shared" ref="D176:D183" si="19">D175</f>
        <v>1.1200000000000001</v>
      </c>
      <c r="E176" s="21">
        <f>C176*B176/1000*F146</f>
        <v>2066.7029390253624</v>
      </c>
      <c r="F176" s="21">
        <f t="shared" si="15"/>
        <v>2314.707291708406</v>
      </c>
      <c r="G176" s="21">
        <f>F176*G173</f>
        <v>699.04160209593863</v>
      </c>
      <c r="H176" s="21">
        <f>F176*H173</f>
        <v>2078.6071479541488</v>
      </c>
      <c r="I176" s="21">
        <f>G168*B176/1000</f>
        <v>4469.2067270399994</v>
      </c>
      <c r="J176" s="21">
        <f t="shared" si="16"/>
        <v>9561.5627687984925</v>
      </c>
      <c r="K176" s="21">
        <f t="shared" si="17"/>
        <v>0.10300921726650564</v>
      </c>
    </row>
    <row r="177" spans="1:11">
      <c r="A177" t="s">
        <v>39</v>
      </c>
      <c r="B177" s="74">
        <f ca="1">Исх.данные!F8</f>
        <v>7735.2</v>
      </c>
      <c r="C177" s="21">
        <f t="shared" si="18"/>
        <v>3.85</v>
      </c>
      <c r="D177">
        <f t="shared" si="19"/>
        <v>1.1200000000000001</v>
      </c>
      <c r="E177" s="21">
        <f>C177*B177/1000*F146</f>
        <v>2066.7029390253624</v>
      </c>
      <c r="F177" s="21">
        <f t="shared" si="15"/>
        <v>2314.707291708406</v>
      </c>
      <c r="G177" s="21">
        <f>F177*G173</f>
        <v>699.04160209593863</v>
      </c>
      <c r="H177" s="21">
        <f>F177*H173</f>
        <v>2078.6071479541488</v>
      </c>
      <c r="I177" s="21">
        <f>G168*B177/1000</f>
        <v>4469.2067270399994</v>
      </c>
      <c r="J177" s="21">
        <f t="shared" si="16"/>
        <v>9561.5627687984925</v>
      </c>
      <c r="K177" s="21">
        <f t="shared" si="17"/>
        <v>0.10300921726650564</v>
      </c>
    </row>
    <row r="178" spans="1:11">
      <c r="A178" t="s">
        <v>64</v>
      </c>
      <c r="B178" s="74">
        <f ca="1">Исх.данные!G8</f>
        <v>7735.2</v>
      </c>
      <c r="C178" s="21">
        <f t="shared" si="18"/>
        <v>3.85</v>
      </c>
      <c r="D178">
        <f t="shared" si="19"/>
        <v>1.1200000000000001</v>
      </c>
      <c r="E178" s="21">
        <f>C178*B178/1000*F146</f>
        <v>2066.7029390253624</v>
      </c>
      <c r="F178" s="21">
        <f t="shared" si="15"/>
        <v>2314.707291708406</v>
      </c>
      <c r="G178" s="21">
        <f>F178*G173</f>
        <v>699.04160209593863</v>
      </c>
      <c r="H178" s="21">
        <f>F178*H173</f>
        <v>2078.6071479541488</v>
      </c>
      <c r="I178" s="21">
        <f>G168*B178/1000</f>
        <v>4469.2067270399994</v>
      </c>
      <c r="J178" s="21">
        <f t="shared" si="16"/>
        <v>9561.5627687984925</v>
      </c>
      <c r="K178" s="21">
        <f t="shared" si="17"/>
        <v>0.10300921726650564</v>
      </c>
    </row>
    <row r="179" spans="1:11">
      <c r="A179" t="s">
        <v>41</v>
      </c>
      <c r="B179" s="74">
        <f ca="1">Исх.данные!H8</f>
        <v>189.5</v>
      </c>
      <c r="C179" s="21">
        <f t="shared" si="18"/>
        <v>3.85</v>
      </c>
      <c r="D179">
        <f t="shared" si="19"/>
        <v>1.1200000000000001</v>
      </c>
      <c r="E179" s="21">
        <f>C179*B179/1000*F146</f>
        <v>50.630908954559189</v>
      </c>
      <c r="F179" s="21">
        <f t="shared" si="15"/>
        <v>56.706618029106295</v>
      </c>
      <c r="G179" s="21">
        <f>F179*G173</f>
        <v>17.125398644790099</v>
      </c>
      <c r="H179" s="21">
        <f>F179*H173</f>
        <v>50.922542990137451</v>
      </c>
      <c r="I179" s="21">
        <f>G168*B179/1000</f>
        <v>109.48840039999999</v>
      </c>
      <c r="J179" s="21">
        <f t="shared" si="16"/>
        <v>234.24296006403384</v>
      </c>
      <c r="K179" s="21">
        <f t="shared" si="17"/>
        <v>0.10300921726650565</v>
      </c>
    </row>
    <row r="180" spans="1:11">
      <c r="A180" t="s">
        <v>44</v>
      </c>
      <c r="B180" s="74">
        <f ca="1">Исх.данные!I8</f>
        <v>158.5</v>
      </c>
      <c r="C180" s="21">
        <f t="shared" si="18"/>
        <v>3.85</v>
      </c>
      <c r="D180">
        <f t="shared" si="19"/>
        <v>1.1200000000000001</v>
      </c>
      <c r="E180" s="21">
        <f>C180*B180/1000*F146</f>
        <v>42.348280049064016</v>
      </c>
      <c r="F180" s="21">
        <f t="shared" si="15"/>
        <v>47.430073654951705</v>
      </c>
      <c r="G180" s="21">
        <f>F180*G173</f>
        <v>14.323882243795415</v>
      </c>
      <c r="H180" s="21">
        <f>F180*H173</f>
        <v>42.59220614214663</v>
      </c>
      <c r="I180" s="21">
        <f>G168*B180/1000</f>
        <v>91.577369199999993</v>
      </c>
      <c r="J180" s="21">
        <f t="shared" si="16"/>
        <v>195.92353124089374</v>
      </c>
      <c r="K180" s="21">
        <f t="shared" si="17"/>
        <v>0.10300921726650565</v>
      </c>
    </row>
    <row r="181" spans="1:11">
      <c r="A181" t="s">
        <v>45</v>
      </c>
      <c r="B181" s="74">
        <f ca="1">Исх.данные!J8</f>
        <v>551.6</v>
      </c>
      <c r="C181" s="21">
        <f t="shared" si="18"/>
        <v>3.85</v>
      </c>
      <c r="D181">
        <f t="shared" si="19"/>
        <v>1.1200000000000001</v>
      </c>
      <c r="E181" s="21">
        <f>C181*B181/1000*F146</f>
        <v>147.37735820229469</v>
      </c>
      <c r="F181" s="21">
        <f t="shared" si="15"/>
        <v>165.06264118657006</v>
      </c>
      <c r="G181" s="21">
        <f>F181*G173</f>
        <v>49.848917638344155</v>
      </c>
      <c r="H181" s="21">
        <f>F181*H173</f>
        <v>148.22625178553992</v>
      </c>
      <c r="I181" s="21">
        <f>G168*B181/1000</f>
        <v>318.70080031999998</v>
      </c>
      <c r="J181" s="21">
        <f t="shared" si="16"/>
        <v>681.83861093045414</v>
      </c>
      <c r="K181" s="21">
        <f t="shared" si="17"/>
        <v>0.10300921726650564</v>
      </c>
    </row>
    <row r="182" spans="1:11">
      <c r="A182" t="s">
        <v>46</v>
      </c>
      <c r="B182" s="74">
        <f ca="1">Исх.данные!K8</f>
        <v>43.3</v>
      </c>
      <c r="C182" s="21">
        <f t="shared" si="18"/>
        <v>3.85</v>
      </c>
      <c r="D182">
        <f t="shared" si="19"/>
        <v>1.1200000000000001</v>
      </c>
      <c r="E182" s="21">
        <f>C182*B182/1000*F146</f>
        <v>11.568962309933575</v>
      </c>
      <c r="F182" s="21">
        <f t="shared" si="15"/>
        <v>12.957237787125605</v>
      </c>
      <c r="G182" s="21">
        <f>F182*G173</f>
        <v>3.9130858117119325</v>
      </c>
      <c r="H182" s="21">
        <f>F182*H173</f>
        <v>11.635599532838793</v>
      </c>
      <c r="I182" s="21">
        <f>G168*B182/1000</f>
        <v>25.017666159999994</v>
      </c>
      <c r="J182" s="21">
        <f t="shared" si="16"/>
        <v>53.523589291676323</v>
      </c>
      <c r="K182" s="21">
        <f t="shared" si="17"/>
        <v>0.10300921726650564</v>
      </c>
    </row>
    <row r="183" spans="1:11">
      <c r="A183" t="s">
        <v>175</v>
      </c>
      <c r="B183" s="74">
        <f ca="1">Исх.данные!L8</f>
        <v>1291.4000000000001</v>
      </c>
      <c r="C183" s="21">
        <f t="shared" si="18"/>
        <v>3.85</v>
      </c>
      <c r="D183">
        <f t="shared" si="19"/>
        <v>1.1200000000000001</v>
      </c>
      <c r="E183" s="21">
        <f>C183*B183/1000*F146</f>
        <v>345.03828930827297</v>
      </c>
      <c r="F183" s="21">
        <f t="shared" si="15"/>
        <v>386.44288402526576</v>
      </c>
      <c r="G183" s="21">
        <f>F183*G173</f>
        <v>116.70575097563025</v>
      </c>
      <c r="H183" s="21">
        <f>F183*H173</f>
        <v>347.02570985468867</v>
      </c>
      <c r="I183" s="21">
        <f>G168*B183/1000</f>
        <v>746.13889327999993</v>
      </c>
      <c r="J183" s="21">
        <f t="shared" si="16"/>
        <v>1596.3132381355845</v>
      </c>
      <c r="K183" s="21">
        <f t="shared" si="17"/>
        <v>0.10300921726650564</v>
      </c>
    </row>
    <row r="186" spans="1:11">
      <c r="A186" s="75" t="s">
        <v>436</v>
      </c>
    </row>
    <row r="187" spans="1:11">
      <c r="A187" s="84" t="str">
        <f>A4</f>
        <v>Часовая ставка 1 разряда (руб/час)</v>
      </c>
      <c r="B187" s="84"/>
      <c r="C187" s="84"/>
      <c r="D187" s="84"/>
      <c r="K187" s="21">
        <f>K4</f>
        <v>42.587560386473434</v>
      </c>
    </row>
    <row r="188" spans="1:11">
      <c r="A188" s="84" t="s">
        <v>437</v>
      </c>
      <c r="B188" s="84"/>
      <c r="C188" s="84"/>
      <c r="D188" s="84"/>
    </row>
    <row r="189" spans="1:11">
      <c r="A189" s="48" t="s">
        <v>252</v>
      </c>
      <c r="B189" s="147"/>
      <c r="C189" s="134" t="s">
        <v>187</v>
      </c>
      <c r="D189" s="134" t="s">
        <v>255</v>
      </c>
      <c r="E189" s="134" t="s">
        <v>256</v>
      </c>
      <c r="F189" s="134" t="s">
        <v>258</v>
      </c>
    </row>
    <row r="190" spans="1:11">
      <c r="A190" s="49"/>
      <c r="B190" s="80"/>
      <c r="C190" s="54" t="s">
        <v>254</v>
      </c>
      <c r="D190" s="54"/>
      <c r="E190" s="54" t="s">
        <v>257</v>
      </c>
      <c r="F190" s="54" t="s">
        <v>259</v>
      </c>
    </row>
    <row r="191" spans="1:11">
      <c r="A191" s="46" t="s">
        <v>260</v>
      </c>
      <c r="B191" s="26"/>
      <c r="C191" s="26">
        <v>7.6</v>
      </c>
      <c r="D191" s="26">
        <v>4</v>
      </c>
      <c r="E191" s="47"/>
      <c r="F191" s="26"/>
    </row>
    <row r="192" spans="1:11">
      <c r="A192" s="46" t="s">
        <v>438</v>
      </c>
      <c r="B192" s="26"/>
      <c r="C192" s="26">
        <v>13</v>
      </c>
      <c r="D192" s="26">
        <v>4</v>
      </c>
      <c r="E192" s="47"/>
      <c r="F192" s="26"/>
    </row>
    <row r="193" spans="1:11">
      <c r="C193">
        <v>20.6</v>
      </c>
      <c r="E193" s="21"/>
      <c r="F193" s="21">
        <f ca="1">K187*Исх.данные!F40</f>
        <v>73.676479468599041</v>
      </c>
    </row>
    <row r="194" spans="1:11" ht="13.5" thickBot="1">
      <c r="A194" t="s">
        <v>417</v>
      </c>
    </row>
    <row r="195" spans="1:11">
      <c r="B195" s="95" t="s">
        <v>135</v>
      </c>
      <c r="C195" s="118"/>
      <c r="D195" s="118"/>
      <c r="E195" s="89" t="s">
        <v>187</v>
      </c>
      <c r="F195" s="130" t="s">
        <v>88</v>
      </c>
      <c r="G195" s="139" t="s">
        <v>189</v>
      </c>
      <c r="H195" s="83"/>
      <c r="I195" s="83"/>
    </row>
    <row r="196" spans="1:11">
      <c r="B196" s="97" t="s">
        <v>74</v>
      </c>
      <c r="C196" s="83"/>
      <c r="D196" s="82"/>
      <c r="E196" s="141" t="s">
        <v>188</v>
      </c>
      <c r="F196" s="100" t="s">
        <v>89</v>
      </c>
      <c r="G196" s="140" t="s">
        <v>192</v>
      </c>
      <c r="H196" s="83"/>
      <c r="I196" s="83"/>
    </row>
    <row r="197" spans="1:11">
      <c r="B197" s="97"/>
      <c r="C197" s="83"/>
      <c r="D197" s="82"/>
      <c r="E197" s="142" t="s">
        <v>192</v>
      </c>
      <c r="F197" s="100"/>
      <c r="G197" s="6" t="s">
        <v>233</v>
      </c>
      <c r="H197" s="36"/>
      <c r="I197" s="36"/>
    </row>
    <row r="198" spans="1:11" ht="13.5" thickBot="1">
      <c r="B198" s="104"/>
      <c r="C198" s="119"/>
      <c r="D198" s="119"/>
      <c r="E198" s="92"/>
      <c r="F198" s="102"/>
      <c r="G198" s="9" t="s">
        <v>223</v>
      </c>
      <c r="H198" s="83"/>
      <c r="I198" s="26"/>
    </row>
    <row r="199" spans="1:11">
      <c r="B199" s="45" t="s">
        <v>172</v>
      </c>
      <c r="C199" s="82"/>
      <c r="D199" s="82"/>
      <c r="E199" s="171">
        <v>5.23</v>
      </c>
      <c r="F199" s="158">
        <f ca="1">Цены!E15</f>
        <v>120</v>
      </c>
      <c r="G199" s="70">
        <f>E199*F199</f>
        <v>627.6</v>
      </c>
      <c r="H199" s="83"/>
      <c r="I199" s="26"/>
    </row>
    <row r="200" spans="1:11">
      <c r="B200" s="45" t="s">
        <v>440</v>
      </c>
      <c r="C200" s="82"/>
      <c r="D200" s="82"/>
      <c r="E200" s="169">
        <v>0.32</v>
      </c>
      <c r="F200" s="161">
        <f ca="1">Цены!E33</f>
        <v>75</v>
      </c>
      <c r="G200" s="44">
        <f>E200*F200</f>
        <v>24</v>
      </c>
      <c r="H200" s="83"/>
      <c r="I200" s="26"/>
    </row>
    <row r="201" spans="1:11">
      <c r="B201" s="82"/>
      <c r="C201" s="82"/>
      <c r="D201" s="82"/>
      <c r="E201" s="83"/>
      <c r="F201" s="83"/>
      <c r="G201" s="47">
        <f>SUM(G199:G200)</f>
        <v>651.6</v>
      </c>
      <c r="H201" s="83"/>
      <c r="I201" s="26"/>
    </row>
    <row r="202" spans="1:11" ht="13.5" thickBot="1">
      <c r="A202" s="71" t="s">
        <v>442</v>
      </c>
      <c r="B202" s="46"/>
    </row>
    <row r="203" spans="1:11" ht="13.5" thickBot="1">
      <c r="A203" s="15" t="s">
        <v>71</v>
      </c>
      <c r="B203" s="15" t="s">
        <v>103</v>
      </c>
      <c r="C203" s="15" t="s">
        <v>108</v>
      </c>
      <c r="D203" s="22" t="s">
        <v>111</v>
      </c>
      <c r="E203" s="23"/>
      <c r="F203" s="23"/>
      <c r="G203" s="23"/>
      <c r="H203" s="23"/>
      <c r="I203" s="23"/>
      <c r="J203" s="24"/>
      <c r="K203" s="15" t="s">
        <v>124</v>
      </c>
    </row>
    <row r="204" spans="1:11">
      <c r="A204" s="6" t="s">
        <v>102</v>
      </c>
      <c r="B204" s="6" t="s">
        <v>104</v>
      </c>
      <c r="C204" s="6" t="s">
        <v>109</v>
      </c>
      <c r="D204" s="15" t="s">
        <v>114</v>
      </c>
      <c r="E204" s="15" t="s">
        <v>112</v>
      </c>
      <c r="F204" s="15" t="s">
        <v>112</v>
      </c>
      <c r="G204" s="15" t="s">
        <v>113</v>
      </c>
      <c r="H204" s="15" t="s">
        <v>116</v>
      </c>
      <c r="I204" s="15" t="s">
        <v>118</v>
      </c>
      <c r="J204" s="15" t="s">
        <v>121</v>
      </c>
      <c r="K204" s="6" t="s">
        <v>125</v>
      </c>
    </row>
    <row r="205" spans="1:11">
      <c r="A205" s="6"/>
      <c r="B205" s="6" t="s">
        <v>105</v>
      </c>
      <c r="C205" s="6" t="s">
        <v>110</v>
      </c>
      <c r="D205" s="6" t="s">
        <v>115</v>
      </c>
      <c r="E205" s="6"/>
      <c r="F205" s="6" t="s">
        <v>123</v>
      </c>
      <c r="G205" s="6"/>
      <c r="H205" s="6" t="s">
        <v>117</v>
      </c>
      <c r="I205" s="6" t="s">
        <v>119</v>
      </c>
      <c r="J205" s="6" t="s">
        <v>122</v>
      </c>
      <c r="K205" s="6" t="s">
        <v>127</v>
      </c>
    </row>
    <row r="206" spans="1:11" ht="13.5" thickBot="1">
      <c r="A206" s="9"/>
      <c r="B206" s="9" t="s">
        <v>106</v>
      </c>
      <c r="C206" s="9" t="s">
        <v>192</v>
      </c>
      <c r="D206" s="9"/>
      <c r="E206" s="9"/>
      <c r="F206" s="9"/>
      <c r="G206" s="73">
        <f ca="1">Исх.данные!F51</f>
        <v>0.30199999999999999</v>
      </c>
      <c r="H206" s="73">
        <f ca="1">Исх.данные!F52</f>
        <v>0.89800000000000002</v>
      </c>
      <c r="I206" s="9" t="s">
        <v>120</v>
      </c>
      <c r="J206" s="9" t="s">
        <v>75</v>
      </c>
      <c r="K206" s="9"/>
    </row>
    <row r="207" spans="1:11">
      <c r="A207" t="s">
        <v>16</v>
      </c>
      <c r="B207" s="74">
        <f ca="1">Исх.данные!C8</f>
        <v>2595.5</v>
      </c>
      <c r="C207" s="21">
        <f ca="1">C193</f>
        <v>20.6</v>
      </c>
      <c r="D207">
        <f ca="1">Исх.данные!F54</f>
        <v>1.1200000000000001</v>
      </c>
      <c r="E207" s="21">
        <f>C207*B207/1000*F193</f>
        <v>3939.2824306914258</v>
      </c>
      <c r="F207" s="21">
        <f t="shared" ref="F207:F216" si="20">E207*D207</f>
        <v>4411.9963223743971</v>
      </c>
      <c r="G207" s="21">
        <f>F207*G206</f>
        <v>1332.4228893570678</v>
      </c>
      <c r="H207" s="21">
        <f>F207*H206</f>
        <v>3961.9726974922087</v>
      </c>
      <c r="I207" s="21">
        <f>G201*B207/1000</f>
        <v>1691.2278000000001</v>
      </c>
      <c r="J207" s="21">
        <f t="shared" ref="J207:J216" si="21">SUM(F207:I207)</f>
        <v>11397.619709223674</v>
      </c>
      <c r="K207" s="21">
        <f t="shared" ref="K207:K216" si="22">J207/12/B207</f>
        <v>0.36594168462157822</v>
      </c>
    </row>
    <row r="208" spans="1:11">
      <c r="A208" t="s">
        <v>28</v>
      </c>
      <c r="B208" s="74">
        <f ca="1">Исх.данные!D8</f>
        <v>2595.5</v>
      </c>
      <c r="C208" s="21">
        <f ca="1">C207</f>
        <v>20.6</v>
      </c>
      <c r="D208">
        <f ca="1">D207</f>
        <v>1.1200000000000001</v>
      </c>
      <c r="E208" s="21">
        <f>C208*B208/1000*F193</f>
        <v>3939.2824306914258</v>
      </c>
      <c r="F208" s="21">
        <f t="shared" si="20"/>
        <v>4411.9963223743971</v>
      </c>
      <c r="G208" s="21">
        <f>F208*G206</f>
        <v>1332.4228893570678</v>
      </c>
      <c r="H208" s="21">
        <f>F208*H206</f>
        <v>3961.9726974922087</v>
      </c>
      <c r="I208" s="21">
        <f>G201*B208/1000</f>
        <v>1691.2278000000001</v>
      </c>
      <c r="J208" s="21">
        <f t="shared" si="21"/>
        <v>11397.619709223674</v>
      </c>
      <c r="K208" s="21">
        <f t="shared" si="22"/>
        <v>0.36594168462157822</v>
      </c>
    </row>
    <row r="209" spans="1:11">
      <c r="A209" t="s">
        <v>36</v>
      </c>
      <c r="B209" s="74">
        <f ca="1">Исх.данные!E8</f>
        <v>7735.2</v>
      </c>
      <c r="C209" s="21">
        <f t="shared" ref="C209:C216" si="23">C208</f>
        <v>20.6</v>
      </c>
      <c r="D209">
        <f t="shared" ref="D209:D216" si="24">D208</f>
        <v>1.1200000000000001</v>
      </c>
      <c r="E209" s="21">
        <f>C209*B209/1000*F193</f>
        <v>11739.987462101451</v>
      </c>
      <c r="F209" s="21">
        <f t="shared" si="20"/>
        <v>13148.785957553628</v>
      </c>
      <c r="G209" s="21">
        <f>F209*G206</f>
        <v>3970.9333591811956</v>
      </c>
      <c r="H209" s="21">
        <f>F209*H206</f>
        <v>11807.609789883158</v>
      </c>
      <c r="I209" s="21">
        <f>G201*B209/1000</f>
        <v>5040.2563200000004</v>
      </c>
      <c r="J209" s="21">
        <f t="shared" si="21"/>
        <v>33967.585426617981</v>
      </c>
      <c r="K209" s="21">
        <f t="shared" si="22"/>
        <v>0.36594168462157822</v>
      </c>
    </row>
    <row r="210" spans="1:11">
      <c r="A210" t="s">
        <v>39</v>
      </c>
      <c r="B210" s="74">
        <f ca="1">Исх.данные!F8</f>
        <v>7735.2</v>
      </c>
      <c r="C210" s="21">
        <f t="shared" si="23"/>
        <v>20.6</v>
      </c>
      <c r="D210">
        <f t="shared" si="24"/>
        <v>1.1200000000000001</v>
      </c>
      <c r="E210" s="21">
        <f>C210*B210/1000*F193</f>
        <v>11739.987462101451</v>
      </c>
      <c r="F210" s="21">
        <f t="shared" si="20"/>
        <v>13148.785957553628</v>
      </c>
      <c r="G210" s="21">
        <f>F210*G206</f>
        <v>3970.9333591811956</v>
      </c>
      <c r="H210" s="21">
        <f>F210*H206</f>
        <v>11807.609789883158</v>
      </c>
      <c r="I210" s="21">
        <f>G201*B210/1000</f>
        <v>5040.2563200000004</v>
      </c>
      <c r="J210" s="21">
        <f t="shared" si="21"/>
        <v>33967.585426617981</v>
      </c>
      <c r="K210" s="21">
        <f t="shared" si="22"/>
        <v>0.36594168462157822</v>
      </c>
    </row>
    <row r="211" spans="1:11">
      <c r="A211" t="s">
        <v>64</v>
      </c>
      <c r="B211" s="74">
        <f ca="1">Исх.данные!G8</f>
        <v>7735.2</v>
      </c>
      <c r="C211" s="21">
        <f t="shared" si="23"/>
        <v>20.6</v>
      </c>
      <c r="D211">
        <f t="shared" si="24"/>
        <v>1.1200000000000001</v>
      </c>
      <c r="E211" s="21">
        <f>C211*B211/1000*F193</f>
        <v>11739.987462101451</v>
      </c>
      <c r="F211" s="21">
        <f t="shared" si="20"/>
        <v>13148.785957553628</v>
      </c>
      <c r="G211" s="21">
        <f>F211*G206</f>
        <v>3970.9333591811956</v>
      </c>
      <c r="H211" s="21">
        <f>F211*H206</f>
        <v>11807.609789883158</v>
      </c>
      <c r="I211" s="21">
        <f>G201*B211/1000</f>
        <v>5040.2563200000004</v>
      </c>
      <c r="J211" s="21">
        <f t="shared" si="21"/>
        <v>33967.585426617981</v>
      </c>
      <c r="K211" s="21">
        <f t="shared" si="22"/>
        <v>0.36594168462157822</v>
      </c>
    </row>
    <row r="212" spans="1:11">
      <c r="A212" t="s">
        <v>41</v>
      </c>
      <c r="B212" s="74">
        <f ca="1">Исх.данные!H8</f>
        <v>189.5</v>
      </c>
      <c r="C212" s="21">
        <f t="shared" si="23"/>
        <v>20.6</v>
      </c>
      <c r="D212">
        <f t="shared" si="24"/>
        <v>1.1200000000000001</v>
      </c>
      <c r="E212" s="21">
        <f>C212*B212/1000*F193</f>
        <v>287.61087290157008</v>
      </c>
      <c r="F212" s="21">
        <f t="shared" si="20"/>
        <v>322.12417764975851</v>
      </c>
      <c r="G212" s="21">
        <f>F212*G206</f>
        <v>97.281501650227071</v>
      </c>
      <c r="H212" s="21">
        <f>F212*H206</f>
        <v>289.26751152948316</v>
      </c>
      <c r="I212" s="21">
        <f>G201*B212/1000</f>
        <v>123.4782</v>
      </c>
      <c r="J212" s="21">
        <f t="shared" si="21"/>
        <v>832.15139082946871</v>
      </c>
      <c r="K212" s="21">
        <f t="shared" si="22"/>
        <v>0.36594168462157817</v>
      </c>
    </row>
    <row r="213" spans="1:11">
      <c r="A213" t="s">
        <v>44</v>
      </c>
      <c r="B213" s="74">
        <f ca="1">Исх.данные!I8</f>
        <v>158.5</v>
      </c>
      <c r="C213" s="21">
        <f t="shared" si="23"/>
        <v>20.6</v>
      </c>
      <c r="D213">
        <f t="shared" si="24"/>
        <v>1.1200000000000001</v>
      </c>
      <c r="E213" s="21">
        <f>C213*B213/1000*F193</f>
        <v>240.56107311292274</v>
      </c>
      <c r="F213" s="21">
        <f t="shared" si="20"/>
        <v>269.42840188647352</v>
      </c>
      <c r="G213" s="21">
        <f>F213*G206</f>
        <v>81.367377369715001</v>
      </c>
      <c r="H213" s="21">
        <f>F213*H206</f>
        <v>241.94670489405323</v>
      </c>
      <c r="I213" s="21">
        <f>G201*B213/1000</f>
        <v>103.27860000000001</v>
      </c>
      <c r="J213" s="21">
        <f t="shared" si="21"/>
        <v>696.02108415024179</v>
      </c>
      <c r="K213" s="21">
        <f t="shared" si="22"/>
        <v>0.36594168462157822</v>
      </c>
    </row>
    <row r="214" spans="1:11">
      <c r="A214" t="s">
        <v>45</v>
      </c>
      <c r="B214" s="74">
        <f ca="1">Исх.данные!J8</f>
        <v>551.6</v>
      </c>
      <c r="C214" s="21">
        <f t="shared" si="23"/>
        <v>20.6</v>
      </c>
      <c r="D214">
        <f t="shared" si="24"/>
        <v>1.1200000000000001</v>
      </c>
      <c r="E214" s="21">
        <f>C214*B214/1000*F193</f>
        <v>837.18288914251218</v>
      </c>
      <c r="F214" s="21">
        <f t="shared" si="20"/>
        <v>937.64483583961373</v>
      </c>
      <c r="G214" s="21">
        <f>F214*G206</f>
        <v>283.16874042356335</v>
      </c>
      <c r="H214" s="21">
        <f>F214*H206</f>
        <v>842.0050625839732</v>
      </c>
      <c r="I214" s="21">
        <f>G201*B214/1000</f>
        <v>359.42256000000003</v>
      </c>
      <c r="J214" s="21">
        <f t="shared" si="21"/>
        <v>2422.2411988471504</v>
      </c>
      <c r="K214" s="21">
        <f t="shared" si="22"/>
        <v>0.36594168462157817</v>
      </c>
    </row>
    <row r="215" spans="1:11">
      <c r="A215" t="s">
        <v>46</v>
      </c>
      <c r="B215" s="74">
        <f ca="1">Исх.данные!K8</f>
        <v>43.3</v>
      </c>
      <c r="C215" s="21">
        <f t="shared" si="23"/>
        <v>20.6</v>
      </c>
      <c r="D215">
        <f t="shared" si="24"/>
        <v>1.1200000000000001</v>
      </c>
      <c r="E215" s="21">
        <f>C215*B215/1000*F193</f>
        <v>65.71794615640097</v>
      </c>
      <c r="F215" s="21">
        <f t="shared" si="20"/>
        <v>73.604099695169097</v>
      </c>
      <c r="G215" s="21">
        <f>F215*G206</f>
        <v>22.228438107941066</v>
      </c>
      <c r="H215" s="21">
        <f>F215*H206</f>
        <v>66.096481526261854</v>
      </c>
      <c r="I215" s="21">
        <f>G201*B215/1000</f>
        <v>28.214279999999999</v>
      </c>
      <c r="J215" s="21">
        <f t="shared" si="21"/>
        <v>190.14329932937201</v>
      </c>
      <c r="K215" s="21">
        <f t="shared" si="22"/>
        <v>0.36594168462157822</v>
      </c>
    </row>
    <row r="216" spans="1:11">
      <c r="A216" t="s">
        <v>175</v>
      </c>
      <c r="B216" s="74">
        <f ca="1">Исх.данные!L8</f>
        <v>1291.4000000000001</v>
      </c>
      <c r="C216" s="21">
        <f t="shared" si="23"/>
        <v>20.6</v>
      </c>
      <c r="D216">
        <f t="shared" si="24"/>
        <v>1.1200000000000001</v>
      </c>
      <c r="E216" s="21">
        <f>C216*B216/1000*F193</f>
        <v>1960.0035950664255</v>
      </c>
      <c r="F216" s="21">
        <f t="shared" si="20"/>
        <v>2195.2040264743969</v>
      </c>
      <c r="G216" s="21">
        <f>F216*G206</f>
        <v>662.95161599526784</v>
      </c>
      <c r="H216" s="21">
        <f>F216*H206</f>
        <v>1971.2932157740083</v>
      </c>
      <c r="I216" s="21">
        <f>G201*B216/1000</f>
        <v>841.47624000000008</v>
      </c>
      <c r="J216" s="21">
        <f t="shared" si="21"/>
        <v>5670.9250982436733</v>
      </c>
      <c r="K216" s="21">
        <f t="shared" si="22"/>
        <v>0.36594168462157817</v>
      </c>
    </row>
    <row r="218" spans="1:11">
      <c r="A218" s="75" t="s">
        <v>441</v>
      </c>
    </row>
    <row r="219" spans="1:11">
      <c r="A219" s="84" t="str">
        <f>A4</f>
        <v>Часовая ставка 1 разряда (руб/час)</v>
      </c>
      <c r="B219" s="84"/>
      <c r="C219" s="84"/>
      <c r="D219" s="84"/>
      <c r="K219" s="21">
        <f>K4</f>
        <v>42.587560386473434</v>
      </c>
    </row>
    <row r="220" spans="1:11">
      <c r="A220" s="84" t="s">
        <v>252</v>
      </c>
      <c r="B220" s="84"/>
      <c r="C220" s="84" t="s">
        <v>444</v>
      </c>
      <c r="D220" s="84"/>
      <c r="E220" t="s">
        <v>445</v>
      </c>
      <c r="K220" s="21">
        <f ca="1">K219*Исх.данные!E40</f>
        <v>67.714221014492765</v>
      </c>
    </row>
    <row r="221" spans="1:11">
      <c r="A221" s="84" t="s">
        <v>443</v>
      </c>
      <c r="B221" s="84"/>
      <c r="C221" s="84"/>
      <c r="D221" s="84"/>
    </row>
    <row r="222" spans="1:11">
      <c r="A222" s="82" t="s">
        <v>446</v>
      </c>
      <c r="B222" s="26"/>
      <c r="C222" s="26">
        <v>0.26</v>
      </c>
      <c r="D222" s="26" t="s">
        <v>447</v>
      </c>
      <c r="E222" s="26"/>
      <c r="F222" s="26">
        <v>0.18</v>
      </c>
    </row>
    <row r="223" spans="1:11">
      <c r="E223" s="21"/>
      <c r="F223" s="21"/>
    </row>
    <row r="224" spans="1:11" ht="13.5" thickBot="1">
      <c r="A224" t="s">
        <v>417</v>
      </c>
    </row>
    <row r="225" spans="1:11">
      <c r="B225" s="95" t="s">
        <v>135</v>
      </c>
      <c r="C225" s="118"/>
      <c r="D225" s="118"/>
      <c r="E225" s="416" t="s">
        <v>224</v>
      </c>
      <c r="F225" s="417"/>
      <c r="G225" s="130" t="s">
        <v>88</v>
      </c>
      <c r="H225" s="416" t="s">
        <v>451</v>
      </c>
      <c r="I225" s="417"/>
    </row>
    <row r="226" spans="1:11">
      <c r="B226" s="97" t="s">
        <v>74</v>
      </c>
      <c r="C226" s="83"/>
      <c r="D226" s="82"/>
      <c r="E226" s="418" t="s">
        <v>450</v>
      </c>
      <c r="F226" s="419"/>
      <c r="G226" s="100" t="s">
        <v>89</v>
      </c>
      <c r="H226" s="418" t="s">
        <v>450</v>
      </c>
      <c r="I226" s="419"/>
    </row>
    <row r="227" spans="1:11" ht="13.5" thickBot="1">
      <c r="B227" s="97"/>
      <c r="C227" s="83"/>
      <c r="D227" s="82"/>
      <c r="E227" s="421" t="s">
        <v>228</v>
      </c>
      <c r="F227" s="422"/>
      <c r="G227" s="100"/>
      <c r="H227" s="421" t="s">
        <v>228</v>
      </c>
      <c r="I227" s="422"/>
    </row>
    <row r="228" spans="1:11" ht="13.5" thickBot="1">
      <c r="B228" s="97"/>
      <c r="C228" s="82"/>
      <c r="D228" s="82"/>
      <c r="E228" s="94" t="s">
        <v>95</v>
      </c>
      <c r="F228" s="15" t="s">
        <v>226</v>
      </c>
      <c r="G228" s="102"/>
      <c r="H228" s="94" t="s">
        <v>95</v>
      </c>
      <c r="I228" s="15" t="s">
        <v>226</v>
      </c>
    </row>
    <row r="229" spans="1:11">
      <c r="B229" s="77" t="s">
        <v>448</v>
      </c>
      <c r="C229" s="172"/>
      <c r="D229" s="173"/>
      <c r="E229" s="170">
        <v>4.0000000000000001E-3</v>
      </c>
      <c r="F229" s="45">
        <v>2E-3</v>
      </c>
      <c r="G229" s="158">
        <f ca="1">Цены!E53</f>
        <v>3600</v>
      </c>
      <c r="H229" s="70">
        <f>E229*G229</f>
        <v>14.4</v>
      </c>
      <c r="I229" s="70">
        <f>F229*G229</f>
        <v>7.2</v>
      </c>
    </row>
    <row r="230" spans="1:11">
      <c r="B230" s="77" t="s">
        <v>449</v>
      </c>
      <c r="C230" s="172"/>
      <c r="D230" s="173"/>
      <c r="E230" s="169">
        <v>6.2E-2</v>
      </c>
      <c r="F230" s="45">
        <v>4.2999999999999997E-2</v>
      </c>
      <c r="G230" s="161">
        <f ca="1">Цены!E49</f>
        <v>130</v>
      </c>
      <c r="H230" s="44">
        <f>E230*G230</f>
        <v>8.06</v>
      </c>
      <c r="I230" s="44">
        <f>F230*G230</f>
        <v>5.59</v>
      </c>
    </row>
    <row r="231" spans="1:11">
      <c r="B231" s="82"/>
      <c r="C231" s="82"/>
      <c r="D231" s="82"/>
      <c r="E231" s="83"/>
      <c r="H231" s="47">
        <f>SUM(H229:H230)</f>
        <v>22.46</v>
      </c>
      <c r="I231" s="47">
        <f>SUM(I229:I230)</f>
        <v>12.79</v>
      </c>
      <c r="J231" s="83"/>
    </row>
    <row r="232" spans="1:11" ht="13.5" thickBot="1">
      <c r="A232" s="71" t="s">
        <v>516</v>
      </c>
      <c r="B232" s="46"/>
    </row>
    <row r="233" spans="1:11" ht="13.5" thickBot="1">
      <c r="A233" s="15" t="s">
        <v>71</v>
      </c>
      <c r="B233" s="15" t="s">
        <v>103</v>
      </c>
      <c r="C233" s="15" t="s">
        <v>108</v>
      </c>
      <c r="D233" s="22" t="s">
        <v>111</v>
      </c>
      <c r="E233" s="23"/>
      <c r="F233" s="23"/>
      <c r="G233" s="23"/>
      <c r="H233" s="23"/>
      <c r="I233" s="23"/>
      <c r="J233" s="24"/>
      <c r="K233" s="15" t="s">
        <v>124</v>
      </c>
    </row>
    <row r="234" spans="1:11">
      <c r="A234" s="6" t="s">
        <v>102</v>
      </c>
      <c r="B234" s="6" t="s">
        <v>104</v>
      </c>
      <c r="C234" s="6" t="s">
        <v>109</v>
      </c>
      <c r="D234" s="15" t="s">
        <v>114</v>
      </c>
      <c r="E234" s="15" t="s">
        <v>112</v>
      </c>
      <c r="F234" s="15" t="s">
        <v>112</v>
      </c>
      <c r="G234" s="15" t="s">
        <v>113</v>
      </c>
      <c r="H234" s="15" t="s">
        <v>116</v>
      </c>
      <c r="I234" s="15" t="s">
        <v>118</v>
      </c>
      <c r="J234" s="15" t="s">
        <v>121</v>
      </c>
      <c r="K234" s="6" t="s">
        <v>125</v>
      </c>
    </row>
    <row r="235" spans="1:11">
      <c r="A235" s="6"/>
      <c r="B235" s="6" t="s">
        <v>105</v>
      </c>
      <c r="C235" s="6" t="s">
        <v>110</v>
      </c>
      <c r="D235" s="6" t="s">
        <v>115</v>
      </c>
      <c r="E235" s="6"/>
      <c r="F235" s="6" t="s">
        <v>123</v>
      </c>
      <c r="G235" s="6"/>
      <c r="H235" s="6" t="s">
        <v>117</v>
      </c>
      <c r="I235" s="6" t="s">
        <v>119</v>
      </c>
      <c r="J235" s="6" t="s">
        <v>122</v>
      </c>
      <c r="K235" s="6" t="s">
        <v>127</v>
      </c>
    </row>
    <row r="236" spans="1:11" ht="13.5" thickBot="1">
      <c r="A236" s="9"/>
      <c r="B236" s="9" t="s">
        <v>106</v>
      </c>
      <c r="C236" s="9" t="s">
        <v>192</v>
      </c>
      <c r="D236" s="9"/>
      <c r="E236" s="9"/>
      <c r="F236" s="9"/>
      <c r="G236" s="73">
        <f ca="1">Исх.данные!F51</f>
        <v>0.30199999999999999</v>
      </c>
      <c r="H236" s="73">
        <f ca="1">Исх.данные!F52</f>
        <v>0.89800000000000002</v>
      </c>
      <c r="I236" s="9" t="s">
        <v>120</v>
      </c>
      <c r="J236" s="9" t="s">
        <v>75</v>
      </c>
      <c r="K236" s="9"/>
    </row>
    <row r="237" spans="1:11">
      <c r="A237" t="s">
        <v>16</v>
      </c>
      <c r="B237" s="74">
        <f ca="1">Исх.данные!C8</f>
        <v>2595.5</v>
      </c>
      <c r="C237" s="21">
        <f ca="1">C222</f>
        <v>0.26</v>
      </c>
      <c r="D237">
        <f ca="1">Исх.данные!F54</f>
        <v>1.1200000000000001</v>
      </c>
      <c r="E237" s="21">
        <f>C237*B237/1000*K220</f>
        <v>45.695587767210156</v>
      </c>
      <c r="F237" s="21">
        <f t="shared" ref="F237:F242" si="25">E237*D237</f>
        <v>51.179058299275383</v>
      </c>
      <c r="G237" s="21">
        <f>F237*G236</f>
        <v>15.456075606381166</v>
      </c>
      <c r="H237" s="21">
        <f>F237*H236</f>
        <v>45.958794352749294</v>
      </c>
      <c r="I237" s="21">
        <f>H231*B237/1000</f>
        <v>58.294930000000001</v>
      </c>
      <c r="J237" s="21">
        <f t="shared" ref="J237:J242" si="26">SUM(F237:I237)</f>
        <v>170.88885825840583</v>
      </c>
      <c r="K237" s="21">
        <v>0.01</v>
      </c>
    </row>
    <row r="238" spans="1:11">
      <c r="A238" t="s">
        <v>28</v>
      </c>
      <c r="B238" s="74">
        <f ca="1">Исх.данные!D8</f>
        <v>2595.5</v>
      </c>
      <c r="C238" s="21">
        <f ca="1">C237</f>
        <v>0.26</v>
      </c>
      <c r="D238">
        <f ca="1">D237</f>
        <v>1.1200000000000001</v>
      </c>
      <c r="E238" s="21">
        <f>C238*B238/1000*K220</f>
        <v>45.695587767210156</v>
      </c>
      <c r="F238" s="21">
        <f t="shared" si="25"/>
        <v>51.179058299275383</v>
      </c>
      <c r="G238" s="21">
        <f>F238*G236</f>
        <v>15.456075606381166</v>
      </c>
      <c r="H238" s="21">
        <f>F238*H236</f>
        <v>45.958794352749294</v>
      </c>
      <c r="I238" s="21">
        <f>H231*B238/1000</f>
        <v>58.294930000000001</v>
      </c>
      <c r="J238" s="21">
        <f t="shared" si="26"/>
        <v>170.88885825840583</v>
      </c>
      <c r="K238" s="21">
        <v>0.01</v>
      </c>
    </row>
    <row r="239" spans="1:11">
      <c r="A239" t="s">
        <v>36</v>
      </c>
      <c r="B239" s="74">
        <f ca="1">Исх.данные!E8</f>
        <v>7735.2</v>
      </c>
      <c r="C239" s="21">
        <f ca="1">F222</f>
        <v>0.18</v>
      </c>
      <c r="D239">
        <f ca="1">D238</f>
        <v>1.1200000000000001</v>
      </c>
      <c r="E239" s="21">
        <f>C239*B239/1000*K220</f>
        <v>94.280947630434795</v>
      </c>
      <c r="F239" s="21">
        <f t="shared" si="25"/>
        <v>105.59466134608698</v>
      </c>
      <c r="G239" s="21">
        <f>F239*G236</f>
        <v>31.889587726518268</v>
      </c>
      <c r="H239" s="21">
        <f>F239*H236</f>
        <v>94.824005888786104</v>
      </c>
      <c r="I239" s="21">
        <f>I231*B239/1000</f>
        <v>98.933207999999979</v>
      </c>
      <c r="J239" s="21">
        <f t="shared" si="26"/>
        <v>331.24146296139133</v>
      </c>
      <c r="K239" s="21">
        <v>0.01</v>
      </c>
    </row>
    <row r="240" spans="1:11">
      <c r="A240" t="s">
        <v>39</v>
      </c>
      <c r="B240" s="74">
        <f ca="1">Исх.данные!F8</f>
        <v>7735.2</v>
      </c>
      <c r="C240" s="21">
        <f ca="1">F222</f>
        <v>0.18</v>
      </c>
      <c r="D240">
        <f ca="1">D239</f>
        <v>1.1200000000000001</v>
      </c>
      <c r="E240" s="21">
        <f>C240*B240/1000*K220</f>
        <v>94.280947630434795</v>
      </c>
      <c r="F240" s="21">
        <f t="shared" si="25"/>
        <v>105.59466134608698</v>
      </c>
      <c r="G240" s="21">
        <f>F240*G236</f>
        <v>31.889587726518268</v>
      </c>
      <c r="H240" s="21">
        <f>F240*H236</f>
        <v>94.824005888786104</v>
      </c>
      <c r="I240" s="21">
        <f>I231*B240/1000</f>
        <v>98.933207999999979</v>
      </c>
      <c r="J240" s="21">
        <f t="shared" si="26"/>
        <v>331.24146296139133</v>
      </c>
      <c r="K240" s="21">
        <v>0.01</v>
      </c>
    </row>
    <row r="241" spans="1:11">
      <c r="A241" t="s">
        <v>64</v>
      </c>
      <c r="B241" s="74">
        <f ca="1">Исх.данные!G8</f>
        <v>7735.2</v>
      </c>
      <c r="C241" s="21">
        <f ca="1">C240</f>
        <v>0.18</v>
      </c>
      <c r="D241">
        <f ca="1">D240</f>
        <v>1.1200000000000001</v>
      </c>
      <c r="E241" s="21">
        <f>C241*B241/1000*K220</f>
        <v>94.280947630434795</v>
      </c>
      <c r="F241" s="21">
        <f t="shared" si="25"/>
        <v>105.59466134608698</v>
      </c>
      <c r="G241" s="21">
        <f>F241*G236</f>
        <v>31.889587726518268</v>
      </c>
      <c r="H241" s="21">
        <f>F241*H236</f>
        <v>94.824005888786104</v>
      </c>
      <c r="I241" s="21">
        <f>I231*B241/1000</f>
        <v>98.933207999999979</v>
      </c>
      <c r="J241" s="21">
        <f t="shared" si="26"/>
        <v>331.24146296139133</v>
      </c>
      <c r="K241" s="21">
        <v>0.01</v>
      </c>
    </row>
    <row r="242" spans="1:11">
      <c r="A242" t="s">
        <v>175</v>
      </c>
      <c r="B242" s="74">
        <f ca="1">Исх.данные!L8</f>
        <v>1291.4000000000001</v>
      </c>
      <c r="C242" s="21">
        <f ca="1">C222</f>
        <v>0.26</v>
      </c>
      <c r="D242">
        <f ca="1">D241</f>
        <v>1.1200000000000001</v>
      </c>
      <c r="E242" s="21">
        <f>C242*B242/1000*K220</f>
        <v>22.735997704710147</v>
      </c>
      <c r="F242" s="21">
        <f t="shared" si="25"/>
        <v>25.464317429275368</v>
      </c>
      <c r="G242" s="21">
        <f>F242*G236</f>
        <v>7.6902238636411608</v>
      </c>
      <c r="H242" s="21">
        <f>F242*H236</f>
        <v>22.86695705148928</v>
      </c>
      <c r="I242" s="21">
        <f>H231*B242/1000</f>
        <v>29.004844000000006</v>
      </c>
      <c r="J242" s="21">
        <f t="shared" si="26"/>
        <v>85.026342344405805</v>
      </c>
      <c r="K242" s="21">
        <v>0.01</v>
      </c>
    </row>
  </sheetData>
  <mergeCells count="7">
    <mergeCell ref="H225:I225"/>
    <mergeCell ref="H226:I226"/>
    <mergeCell ref="H227:I227"/>
    <mergeCell ref="B160:D160"/>
    <mergeCell ref="E225:F225"/>
    <mergeCell ref="E226:F226"/>
    <mergeCell ref="E227:F227"/>
  </mergeCells>
  <phoneticPr fontId="5" type="noConversion"/>
  <pageMargins left="0.33" right="0.33" top="0.45" bottom="0.42" header="0.32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найм</vt:lpstr>
      <vt:lpstr>Исх.данные</vt:lpstr>
      <vt:lpstr>Данные ЖЭУ</vt:lpstr>
      <vt:lpstr>Цены ЖЭУ</vt:lpstr>
      <vt:lpstr>Цены</vt:lpstr>
      <vt:lpstr>Сод.помещ.</vt:lpstr>
      <vt:lpstr>придом.терр.</vt:lpstr>
      <vt:lpstr>Промывка</vt:lpstr>
      <vt:lpstr>Сезон.экспалуат</vt:lpstr>
      <vt:lpstr>Вывоз ТБО</vt:lpstr>
      <vt:lpstr>Свод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NATALIJA</cp:lastModifiedBy>
  <cp:lastPrinted>2015-03-17T08:29:55Z</cp:lastPrinted>
  <dcterms:created xsi:type="dcterms:W3CDTF">2012-09-27T11:04:00Z</dcterms:created>
  <dcterms:modified xsi:type="dcterms:W3CDTF">2015-04-05T09:26:12Z</dcterms:modified>
</cp:coreProperties>
</file>